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9735"/>
  </bookViews>
  <sheets>
    <sheet name="Plan1" sheetId="2" r:id="rId1"/>
  </sheets>
  <calcPr calcId="124519"/>
</workbook>
</file>

<file path=xl/calcChain.xml><?xml version="1.0" encoding="utf-8"?>
<calcChain xmlns="http://schemas.openxmlformats.org/spreadsheetml/2006/main">
  <c r="L6" i="2"/>
  <c r="L7"/>
  <c r="L4"/>
  <c r="L5"/>
  <c r="K5"/>
  <c r="K6"/>
  <c r="K7"/>
  <c r="K4"/>
  <c r="K11"/>
  <c r="L24"/>
  <c r="M24" s="1"/>
  <c r="N24" s="1"/>
  <c r="L32" l="1"/>
  <c r="N32" s="1"/>
  <c r="N33" s="1"/>
  <c r="N67"/>
  <c r="N68" s="1"/>
  <c r="L21"/>
  <c r="M21" s="1"/>
  <c r="N21" s="1"/>
  <c r="L22"/>
  <c r="M22" s="1"/>
  <c r="N22" s="1"/>
  <c r="L39"/>
  <c r="N39" s="1"/>
  <c r="L38"/>
  <c r="N38" s="1"/>
  <c r="L37"/>
  <c r="N37" s="1"/>
  <c r="N59"/>
  <c r="N60"/>
  <c r="N57"/>
  <c r="N58"/>
  <c r="N44"/>
  <c r="N45"/>
  <c r="N46"/>
  <c r="N47"/>
  <c r="N48"/>
  <c r="N49"/>
  <c r="N50"/>
  <c r="N51"/>
  <c r="N52"/>
  <c r="N53"/>
  <c r="N54"/>
  <c r="N55"/>
  <c r="N56"/>
  <c r="N61"/>
  <c r="N43"/>
  <c r="N16"/>
  <c r="K14"/>
  <c r="N14" s="1"/>
  <c r="N11"/>
  <c r="M17"/>
  <c r="D7"/>
  <c r="D5"/>
  <c r="D6"/>
  <c r="K17"/>
  <c r="K15"/>
  <c r="N15" s="1"/>
  <c r="K13"/>
  <c r="N13" s="1"/>
  <c r="K12"/>
  <c r="N12" s="1"/>
  <c r="D4"/>
  <c r="F4" s="1"/>
  <c r="G4" s="1"/>
  <c r="L23"/>
  <c r="M23" s="1"/>
  <c r="N23" s="1"/>
  <c r="N40" l="1"/>
  <c r="N25"/>
  <c r="N62"/>
  <c r="H6"/>
  <c r="H4"/>
  <c r="F5"/>
  <c r="G5" s="1"/>
  <c r="N28"/>
  <c r="N29" s="1"/>
  <c r="F6"/>
  <c r="G6" s="1"/>
  <c r="N17"/>
  <c r="N18" s="1"/>
  <c r="F7"/>
  <c r="G7" s="1"/>
  <c r="H7"/>
  <c r="H5"/>
  <c r="I6" l="1"/>
  <c r="J6"/>
  <c r="I7"/>
  <c r="J7"/>
  <c r="I4"/>
  <c r="J4"/>
  <c r="J5"/>
  <c r="I5"/>
  <c r="M5" l="1"/>
  <c r="N5" s="1"/>
  <c r="M4"/>
  <c r="N4" s="1"/>
  <c r="M6"/>
  <c r="N6" s="1"/>
  <c r="M7"/>
  <c r="N7" s="1"/>
  <c r="N8" l="1"/>
  <c r="N64" l="1"/>
  <c r="N69" s="1"/>
  <c r="L72" s="1"/>
  <c r="N72" s="1"/>
  <c r="N73" s="1"/>
  <c r="N74" s="1"/>
  <c r="L77" l="1"/>
  <c r="L78" s="1"/>
  <c r="N78" s="1"/>
  <c r="N77" l="1"/>
  <c r="N79" s="1"/>
  <c r="N80" s="1"/>
</calcChain>
</file>

<file path=xl/sharedStrings.xml><?xml version="1.0" encoding="utf-8"?>
<sst xmlns="http://schemas.openxmlformats.org/spreadsheetml/2006/main" count="125" uniqueCount="101">
  <si>
    <t>Função</t>
  </si>
  <si>
    <t>Trabalhadores</t>
  </si>
  <si>
    <t>Salario</t>
  </si>
  <si>
    <t>Insalubridade</t>
  </si>
  <si>
    <t>Adic Noturno</t>
  </si>
  <si>
    <t>Férias</t>
  </si>
  <si>
    <t>1/3 férias</t>
  </si>
  <si>
    <t>FGTS + 40%</t>
  </si>
  <si>
    <t>V. Transp</t>
  </si>
  <si>
    <t>V Aliment</t>
  </si>
  <si>
    <t>Total Unid</t>
  </si>
  <si>
    <t xml:space="preserve">Total </t>
  </si>
  <si>
    <t xml:space="preserve">Discriminação </t>
  </si>
  <si>
    <t>QTD</t>
  </si>
  <si>
    <t>nº hms</t>
  </si>
  <si>
    <t>Calça</t>
  </si>
  <si>
    <t>Especificação</t>
  </si>
  <si>
    <t>Qtd</t>
  </si>
  <si>
    <t>r$ Unid.</t>
  </si>
  <si>
    <t xml:space="preserve">r$ total </t>
  </si>
  <si>
    <t>deprec80%</t>
  </si>
  <si>
    <t>a.m.</t>
  </si>
  <si>
    <t>Total Depreciação</t>
  </si>
  <si>
    <t>4 - Remuneração do Capital</t>
  </si>
  <si>
    <t>%</t>
  </si>
  <si>
    <t>5 - IMPOSTOS/SEGUROS</t>
  </si>
  <si>
    <t>R$ Unid</t>
  </si>
  <si>
    <t>R$ tot</t>
  </si>
  <si>
    <t>meses</t>
  </si>
  <si>
    <t>a.m</t>
  </si>
  <si>
    <t>IPVA/Seguro</t>
  </si>
  <si>
    <t>Total</t>
  </si>
  <si>
    <t>Total de Desp Operacionais</t>
  </si>
  <si>
    <t>Especificações</t>
  </si>
  <si>
    <t>valor</t>
  </si>
  <si>
    <t>Aluguel/agua/luz/telefone/escritorio</t>
  </si>
  <si>
    <t>Custo Mensal antes do Lucro</t>
  </si>
  <si>
    <t>custo tot</t>
  </si>
  <si>
    <t>Percentual sobre o custo total</t>
  </si>
  <si>
    <t>Total de Lucratividade</t>
  </si>
  <si>
    <t>Total antes dos Impostos</t>
  </si>
  <si>
    <t>valor a Imp</t>
  </si>
  <si>
    <t>PIS/Cofins/csl</t>
  </si>
  <si>
    <t>ISS</t>
  </si>
  <si>
    <t>Total dde Impostos</t>
  </si>
  <si>
    <t>Custo Total Mensal</t>
  </si>
  <si>
    <t>Botinas</t>
  </si>
  <si>
    <t>Óculos de proteção</t>
  </si>
  <si>
    <t>INSS</t>
  </si>
  <si>
    <t>13º Salário</t>
  </si>
  <si>
    <t xml:space="preserve">Camiseta </t>
  </si>
  <si>
    <t xml:space="preserve">    </t>
  </si>
  <si>
    <t>1 - Mão de Obra</t>
  </si>
  <si>
    <t>2 - Uniformes e EPIs</t>
  </si>
  <si>
    <t>Total Uniformes e EPIs</t>
  </si>
  <si>
    <t>3 - Equipamentos depreciação</t>
  </si>
  <si>
    <t>Total Remuneração do Capital</t>
  </si>
  <si>
    <t>7 - Materiais para manutenção</t>
  </si>
  <si>
    <t>Papel Higiênico c/8 rolos de 300m</t>
  </si>
  <si>
    <t>Motoristas</t>
  </si>
  <si>
    <t>Servente de Conservação Predial</t>
  </si>
  <si>
    <t>Encarregado/Supervisor</t>
  </si>
  <si>
    <t>Camisa em Tecido Brim - Jaleco</t>
  </si>
  <si>
    <t>Luva vaqueta mista</t>
  </si>
  <si>
    <t>Creme Protetor Solar</t>
  </si>
  <si>
    <t>Rodo de Borracha</t>
  </si>
  <si>
    <t>Luva de Borracha</t>
  </si>
  <si>
    <t>Vassoura cabo de metal</t>
  </si>
  <si>
    <t>Vassoura de palha natural</t>
  </si>
  <si>
    <t>Escova para Vaso Sanitário</t>
  </si>
  <si>
    <t>Balde 8 litros</t>
  </si>
  <si>
    <t>Bolsa branca alvejada</t>
  </si>
  <si>
    <t>Água Sanitária 2 litros</t>
  </si>
  <si>
    <t>Desinfetante 750ml</t>
  </si>
  <si>
    <t>Sabão em pó 1kg</t>
  </si>
  <si>
    <t>R$ Unid.</t>
  </si>
  <si>
    <t>Papel Toalha fardo de 1200 folhas</t>
  </si>
  <si>
    <t>Sabonete Líquido 5 litros</t>
  </si>
  <si>
    <t>Álcool Etílico 70º líquido litro</t>
  </si>
  <si>
    <t>Alcool Gel Desinfetante 70º 400ml</t>
  </si>
  <si>
    <t>Esponja dupla face un.</t>
  </si>
  <si>
    <t>Pá para lixo</t>
  </si>
  <si>
    <t>Saponáceo cremoso 300ml</t>
  </si>
  <si>
    <t>Saco para Lixo Reforçado 200l pct 5un.</t>
  </si>
  <si>
    <t>6 - Materiais de Consumo - Uso Permanente</t>
  </si>
  <si>
    <t>Porta Toalha de Papel</t>
  </si>
  <si>
    <t>Dispenser Álcool Gel/Sabonete</t>
  </si>
  <si>
    <t>Dispenser de Rolão</t>
  </si>
  <si>
    <t>9 - Despesas Administrativas</t>
  </si>
  <si>
    <t>10 - Lucratividade</t>
  </si>
  <si>
    <t>11 - Impostos</t>
  </si>
  <si>
    <t xml:space="preserve">Soprador </t>
  </si>
  <si>
    <t>Lavadora Alta Pressão</t>
  </si>
  <si>
    <t>Total mão de Obra</t>
  </si>
  <si>
    <t xml:space="preserve">PLANILHA DE CUSTO SERVIÇOS DE LIMPEZA MANUTENÇÃO </t>
  </si>
  <si>
    <t>Carrinho de mão com tambor</t>
  </si>
  <si>
    <t>Remuneração do capital</t>
  </si>
  <si>
    <t>Valores</t>
  </si>
  <si>
    <t>Caminhão e equipamentos para recolhimento</t>
  </si>
  <si>
    <t>Combustível caminão e máquinas</t>
  </si>
  <si>
    <t xml:space="preserve">Varredores para Manutenção 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</si>
</sst>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64" formatCode="_-* #,##0_-;\-* #,##0_-;_-* &quot;-&quot;??_-;_-@_-"/>
    <numFmt numFmtId="165" formatCode="_-* #,##0.000_-;\-* #,##0.000_-;_-* &quot;-&quot;??_-;_-@_-"/>
    <numFmt numFmtId="166" formatCode="_-* #,##0.000000_-;\-* #,##0.000000_-;_-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Bodoni MT"/>
      <family val="1"/>
    </font>
    <font>
      <sz val="10"/>
      <name val="Arial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sz val="9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sz val="8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60">
    <xf numFmtId="0" fontId="0" fillId="0" borderId="0" xfId="0"/>
    <xf numFmtId="0" fontId="5" fillId="0" borderId="0" xfId="0" applyFont="1"/>
    <xf numFmtId="0" fontId="4" fillId="0" borderId="1" xfId="0" applyFont="1" applyBorder="1"/>
    <xf numFmtId="43" fontId="4" fillId="0" borderId="1" xfId="1" applyFont="1" applyBorder="1"/>
    <xf numFmtId="43" fontId="0" fillId="0" borderId="0" xfId="0" applyNumberFormat="1"/>
    <xf numFmtId="43" fontId="0" fillId="0" borderId="0" xfId="1" applyFont="1"/>
    <xf numFmtId="0" fontId="10" fillId="0" borderId="1" xfId="0" applyFont="1" applyBorder="1" applyAlignment="1">
      <alignment horizontal="center" textRotation="45"/>
    </xf>
    <xf numFmtId="43" fontId="10" fillId="0" borderId="1" xfId="1" applyFont="1" applyBorder="1" applyAlignment="1">
      <alignment horizontal="center" textRotation="45"/>
    </xf>
    <xf numFmtId="0" fontId="0" fillId="0" borderId="1" xfId="0" applyBorder="1"/>
    <xf numFmtId="0" fontId="10" fillId="0" borderId="1" xfId="0" applyFont="1" applyBorder="1" applyAlignment="1">
      <alignment horizontal="right" textRotation="45"/>
    </xf>
    <xf numFmtId="43" fontId="10" fillId="0" borderId="1" xfId="1" applyFont="1" applyBorder="1" applyAlignment="1">
      <alignment horizontal="right" textRotation="45"/>
    </xf>
    <xf numFmtId="43" fontId="4" fillId="0" borderId="1" xfId="1" applyFont="1" applyBorder="1" applyAlignment="1">
      <alignment horizontal="right"/>
    </xf>
    <xf numFmtId="43" fontId="6" fillId="0" borderId="1" xfId="1" applyFont="1" applyBorder="1" applyAlignment="1">
      <alignment horizontal="right"/>
    </xf>
    <xf numFmtId="43" fontId="9" fillId="0" borderId="1" xfId="1" applyFont="1" applyBorder="1" applyAlignment="1">
      <alignment horizontal="right"/>
    </xf>
    <xf numFmtId="0" fontId="9" fillId="0" borderId="1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43" fontId="0" fillId="0" borderId="1" xfId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43" fontId="5" fillId="0" borderId="1" xfId="1" applyFont="1" applyBorder="1" applyAlignment="1">
      <alignment horizontal="right"/>
    </xf>
    <xf numFmtId="43" fontId="6" fillId="2" borderId="1" xfId="1" applyFont="1" applyFill="1" applyBorder="1" applyAlignment="1">
      <alignment horizontal="right"/>
    </xf>
    <xf numFmtId="164" fontId="4" fillId="0" borderId="1" xfId="1" applyNumberFormat="1" applyFont="1" applyBorder="1" applyAlignment="1">
      <alignment horizontal="right"/>
    </xf>
    <xf numFmtId="165" fontId="4" fillId="0" borderId="1" xfId="1" applyNumberFormat="1" applyFont="1" applyBorder="1" applyAlignment="1">
      <alignment horizontal="right"/>
    </xf>
    <xf numFmtId="0" fontId="0" fillId="0" borderId="1" xfId="0" applyBorder="1" applyAlignment="1">
      <alignment horizontal="right"/>
    </xf>
    <xf numFmtId="43" fontId="0" fillId="0" borderId="1" xfId="0" applyNumberForma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2" fontId="0" fillId="0" borderId="1" xfId="0" applyNumberFormat="1" applyBorder="1" applyAlignment="1">
      <alignment horizontal="right"/>
    </xf>
    <xf numFmtId="43" fontId="4" fillId="0" borderId="1" xfId="1" applyNumberFormat="1" applyFont="1" applyBorder="1" applyAlignment="1">
      <alignment horizontal="right"/>
    </xf>
    <xf numFmtId="43" fontId="4" fillId="0" borderId="1" xfId="0" applyNumberFormat="1" applyFont="1" applyBorder="1" applyAlignment="1">
      <alignment horizontal="right"/>
    </xf>
    <xf numFmtId="2" fontId="4" fillId="0" borderId="1" xfId="0" applyNumberFormat="1" applyFont="1" applyBorder="1" applyAlignment="1">
      <alignment horizontal="right"/>
    </xf>
    <xf numFmtId="2" fontId="4" fillId="0" borderId="1" xfId="1" applyNumberFormat="1" applyFont="1" applyBorder="1" applyAlignment="1">
      <alignment horizontal="right"/>
    </xf>
    <xf numFmtId="43" fontId="6" fillId="0" borderId="1" xfId="1" applyFont="1" applyFill="1" applyBorder="1" applyAlignment="1">
      <alignment horizontal="right"/>
    </xf>
    <xf numFmtId="0" fontId="4" fillId="0" borderId="1" xfId="0" applyFont="1" applyFill="1" applyBorder="1" applyAlignment="1">
      <alignment horizontal="right"/>
    </xf>
    <xf numFmtId="43" fontId="8" fillId="0" borderId="1" xfId="1" applyFont="1" applyBorder="1" applyAlignment="1">
      <alignment horizontal="right"/>
    </xf>
    <xf numFmtId="0" fontId="0" fillId="0" borderId="0" xfId="0" applyAlignment="1">
      <alignment horizontal="right"/>
    </xf>
    <xf numFmtId="43" fontId="0" fillId="0" borderId="0" xfId="0" applyNumberFormat="1" applyAlignment="1">
      <alignment horizontal="right"/>
    </xf>
    <xf numFmtId="0" fontId="0" fillId="0" borderId="1" xfId="0" applyFont="1" applyBorder="1" applyAlignment="1">
      <alignment horizontal="right"/>
    </xf>
    <xf numFmtId="0" fontId="0" fillId="0" borderId="0" xfId="0" applyFont="1"/>
    <xf numFmtId="166" fontId="0" fillId="0" borderId="0" xfId="0" applyNumberForma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1" xfId="0" applyFont="1" applyBorder="1" applyAlignment="1"/>
    <xf numFmtId="0" fontId="0" fillId="0" borderId="1" xfId="0" applyBorder="1" applyAlignment="1"/>
    <xf numFmtId="0" fontId="6" fillId="0" borderId="1" xfId="0" applyFont="1" applyBorder="1" applyAlignment="1"/>
    <xf numFmtId="0" fontId="4" fillId="0" borderId="1" xfId="0" applyFont="1" applyBorder="1" applyAlignment="1">
      <alignment horizontal="left"/>
    </xf>
    <xf numFmtId="0" fontId="5" fillId="0" borderId="1" xfId="0" applyFont="1" applyBorder="1" applyAlignment="1"/>
    <xf numFmtId="0" fontId="6" fillId="2" borderId="1" xfId="0" applyFont="1" applyFill="1" applyBorder="1" applyAlignment="1">
      <alignment horizontal="left"/>
    </xf>
    <xf numFmtId="0" fontId="6" fillId="0" borderId="1" xfId="0" applyFont="1" applyBorder="1" applyAlignment="1">
      <alignment horizontal="left"/>
    </xf>
    <xf numFmtId="0" fontId="7" fillId="0" borderId="1" xfId="2" applyFont="1" applyFill="1" applyBorder="1" applyAlignment="1">
      <alignment horizontal="left"/>
    </xf>
    <xf numFmtId="0" fontId="7" fillId="0" borderId="1" xfId="2" applyFont="1" applyFill="1" applyBorder="1" applyAlignment="1">
      <alignment horizontal="left" vertical="center"/>
    </xf>
    <xf numFmtId="43" fontId="6" fillId="0" borderId="1" xfId="1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8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vertical="center"/>
    </xf>
  </cellXfs>
  <cellStyles count="3">
    <cellStyle name="Normal" xfId="0" builtinId="0"/>
    <cellStyle name="Normal 2" xfId="2"/>
    <cellStyle name="Separador de milhares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84"/>
  <sheetViews>
    <sheetView tabSelected="1" topLeftCell="A55" workbookViewId="0">
      <selection activeCell="B7" sqref="B7"/>
    </sheetView>
  </sheetViews>
  <sheetFormatPr defaultRowHeight="15"/>
  <cols>
    <col min="1" max="1" width="30.7109375" customWidth="1"/>
    <col min="2" max="2" width="6.85546875" bestFit="1" customWidth="1"/>
    <col min="3" max="3" width="9.85546875" bestFit="1" customWidth="1"/>
    <col min="4" max="4" width="8.28515625" bestFit="1" customWidth="1"/>
    <col min="5" max="5" width="5.28515625" bestFit="1" customWidth="1"/>
    <col min="6" max="6" width="8.28515625" bestFit="1" customWidth="1"/>
    <col min="7" max="7" width="7.28515625" bestFit="1" customWidth="1"/>
    <col min="8" max="8" width="8.28515625" style="5" bestFit="1" customWidth="1"/>
    <col min="9" max="9" width="10.42578125" style="33" bestFit="1" customWidth="1"/>
    <col min="10" max="10" width="8.5703125" style="33" customWidth="1"/>
    <col min="11" max="11" width="11.5703125" style="33" customWidth="1"/>
    <col min="12" max="12" width="11.5703125" style="33" bestFit="1" customWidth="1"/>
    <col min="13" max="13" width="11.85546875" style="33" bestFit="1" customWidth="1"/>
    <col min="14" max="14" width="13.85546875" style="33" customWidth="1"/>
    <col min="15" max="15" width="9.140625" customWidth="1"/>
    <col min="16" max="16" width="9.5703125" bestFit="1" customWidth="1"/>
    <col min="19" max="19" width="11.5703125" bestFit="1" customWidth="1"/>
    <col min="21" max="21" width="11" bestFit="1" customWidth="1"/>
  </cols>
  <sheetData>
    <row r="1" spans="1:15" ht="27" customHeight="1">
      <c r="A1" s="54" t="s">
        <v>94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1"/>
    </row>
    <row r="2" spans="1:15" ht="25.5" customHeight="1">
      <c r="A2" s="50" t="s">
        <v>52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1"/>
    </row>
    <row r="3" spans="1:15" ht="45">
      <c r="A3" s="2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7" t="s">
        <v>49</v>
      </c>
      <c r="I3" s="9" t="s">
        <v>48</v>
      </c>
      <c r="J3" s="9" t="s">
        <v>7</v>
      </c>
      <c r="K3" s="9" t="s">
        <v>8</v>
      </c>
      <c r="L3" s="9" t="s">
        <v>9</v>
      </c>
      <c r="M3" s="9" t="s">
        <v>10</v>
      </c>
      <c r="N3" s="10" t="s">
        <v>11</v>
      </c>
      <c r="O3" s="1"/>
    </row>
    <row r="4" spans="1:15">
      <c r="A4" s="3" t="s">
        <v>100</v>
      </c>
      <c r="B4" s="3">
        <v>14</v>
      </c>
      <c r="C4" s="3">
        <v>1799.68</v>
      </c>
      <c r="D4" s="3">
        <f>C4*0.4</f>
        <v>719.87200000000007</v>
      </c>
      <c r="E4" s="3">
        <v>0</v>
      </c>
      <c r="F4" s="3">
        <f>(C4+D4+E4)/12</f>
        <v>209.96266666666668</v>
      </c>
      <c r="G4" s="3">
        <f>F4/3</f>
        <v>69.987555555555559</v>
      </c>
      <c r="H4" s="3">
        <f>(C4+D4+E4)/12</f>
        <v>209.96266666666668</v>
      </c>
      <c r="I4" s="11">
        <f>(C4+D4+E4+F4+G4+H4)*21/100</f>
        <v>631.98762666666664</v>
      </c>
      <c r="J4" s="11">
        <f>((C4+D4+E4+F4+G4+F4)*0.08)*1.4</f>
        <v>337.06006755555558</v>
      </c>
      <c r="K4" s="11">
        <f>((26*4*5.5)-(C4*0.06))</f>
        <v>464.01920000000001</v>
      </c>
      <c r="L4" s="11">
        <f>(22*25.42)-(19%)</f>
        <v>559.04999999999995</v>
      </c>
      <c r="M4" s="11">
        <f t="shared" ref="M4:M7" si="0">SUM(C4:L4)</f>
        <v>5001.5817831111117</v>
      </c>
      <c r="N4" s="11">
        <f>B4*M4</f>
        <v>70022.144963555562</v>
      </c>
      <c r="O4" s="1"/>
    </row>
    <row r="5" spans="1:15">
      <c r="A5" s="3" t="s">
        <v>59</v>
      </c>
      <c r="B5" s="3">
        <v>1</v>
      </c>
      <c r="C5" s="3">
        <v>2331.4</v>
      </c>
      <c r="D5" s="3">
        <f>C5*0.2</f>
        <v>466.28000000000003</v>
      </c>
      <c r="E5" s="3">
        <v>0</v>
      </c>
      <c r="F5" s="3">
        <f t="shared" ref="F5:F7" si="1">(C5+D5+E5)/12</f>
        <v>233.14000000000001</v>
      </c>
      <c r="G5" s="3">
        <f t="shared" ref="G5:G7" si="2">F5/3</f>
        <v>77.713333333333338</v>
      </c>
      <c r="H5" s="3">
        <f t="shared" ref="H5:H6" si="3">(C5+D5+E5)/12</f>
        <v>233.14000000000001</v>
      </c>
      <c r="I5" s="11">
        <f t="shared" ref="I5:I7" si="4">(C5+D5+E5+F5+G5+H5)*21/100</f>
        <v>701.75139999999999</v>
      </c>
      <c r="J5" s="11">
        <f t="shared" ref="J5:J7" si="5">((C5+D5+E5+F5+G5+F5)*0.08)*1.4</f>
        <v>374.26741333333331</v>
      </c>
      <c r="K5" s="11">
        <f t="shared" ref="K5:K7" si="6">((26*4*5.5)-(C5*0.06))</f>
        <v>432.11599999999999</v>
      </c>
      <c r="L5" s="11">
        <f>(22*16.52)-(20%)</f>
        <v>363.24</v>
      </c>
      <c r="M5" s="11">
        <f t="shared" si="0"/>
        <v>5213.0481466666661</v>
      </c>
      <c r="N5" s="11">
        <f>B5*M5</f>
        <v>5213.0481466666661</v>
      </c>
      <c r="O5" s="1"/>
    </row>
    <row r="6" spans="1:15">
      <c r="A6" s="3" t="s">
        <v>60</v>
      </c>
      <c r="B6" s="3">
        <v>10</v>
      </c>
      <c r="C6" s="3">
        <v>1765.86</v>
      </c>
      <c r="D6" s="3">
        <f t="shared" ref="D6" si="7">C6*0.4</f>
        <v>706.34400000000005</v>
      </c>
      <c r="E6" s="3">
        <v>0</v>
      </c>
      <c r="F6" s="3">
        <f t="shared" si="1"/>
        <v>206.01699999999997</v>
      </c>
      <c r="G6" s="3">
        <f t="shared" si="2"/>
        <v>68.672333333333327</v>
      </c>
      <c r="H6" s="3">
        <f t="shared" si="3"/>
        <v>206.01699999999997</v>
      </c>
      <c r="I6" s="11">
        <f t="shared" si="4"/>
        <v>620.1111699999999</v>
      </c>
      <c r="J6" s="11">
        <f t="shared" si="5"/>
        <v>330.72595733333327</v>
      </c>
      <c r="K6" s="11">
        <f t="shared" si="6"/>
        <v>466.04840000000002</v>
      </c>
      <c r="L6" s="11">
        <f>(22*19)-(19%)</f>
        <v>417.81</v>
      </c>
      <c r="M6" s="11">
        <f t="shared" si="0"/>
        <v>4787.6058606666656</v>
      </c>
      <c r="N6" s="11">
        <f t="shared" ref="N6:N7" si="8">B6*M6</f>
        <v>47876.058606666658</v>
      </c>
      <c r="O6" s="1"/>
    </row>
    <row r="7" spans="1:15">
      <c r="A7" s="3" t="s">
        <v>61</v>
      </c>
      <c r="B7" s="3">
        <v>1</v>
      </c>
      <c r="C7" s="3">
        <v>2075.3200000000002</v>
      </c>
      <c r="D7" s="3">
        <f>C7*0.2</f>
        <v>415.06400000000008</v>
      </c>
      <c r="E7" s="3">
        <v>0</v>
      </c>
      <c r="F7" s="3">
        <f t="shared" si="1"/>
        <v>207.53200000000001</v>
      </c>
      <c r="G7" s="3">
        <f t="shared" si="2"/>
        <v>69.177333333333337</v>
      </c>
      <c r="H7" s="3">
        <f>(C7+D7+E7)/12</f>
        <v>207.53200000000001</v>
      </c>
      <c r="I7" s="11">
        <f t="shared" si="4"/>
        <v>624.67132000000015</v>
      </c>
      <c r="J7" s="11">
        <f t="shared" si="5"/>
        <v>333.15803733333337</v>
      </c>
      <c r="K7" s="11">
        <f t="shared" si="6"/>
        <v>447.48079999999999</v>
      </c>
      <c r="L7" s="11">
        <f>(22*25.42)-(19%)</f>
        <v>559.04999999999995</v>
      </c>
      <c r="M7" s="11">
        <f t="shared" si="0"/>
        <v>4938.9854906666678</v>
      </c>
      <c r="N7" s="11">
        <f t="shared" si="8"/>
        <v>4938.9854906666678</v>
      </c>
      <c r="O7" s="1"/>
    </row>
    <row r="8" spans="1:15">
      <c r="A8" s="53" t="s">
        <v>93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12">
        <f>SUM(N4:N7)</f>
        <v>128050.23720755556</v>
      </c>
      <c r="O8" s="1"/>
    </row>
    <row r="9" spans="1:15" ht="21.75" customHeight="1">
      <c r="A9" s="50" t="s">
        <v>53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1"/>
    </row>
    <row r="10" spans="1:15">
      <c r="A10" s="51" t="s">
        <v>12</v>
      </c>
      <c r="B10" s="51"/>
      <c r="C10" s="51"/>
      <c r="D10" s="51"/>
      <c r="E10" s="51"/>
      <c r="F10" s="51"/>
      <c r="G10" s="51"/>
      <c r="H10" s="51"/>
      <c r="I10" s="51"/>
      <c r="J10" s="51"/>
      <c r="K10" s="13" t="s">
        <v>13</v>
      </c>
      <c r="L10" s="14" t="s">
        <v>26</v>
      </c>
      <c r="M10" s="15" t="s">
        <v>14</v>
      </c>
      <c r="N10" s="12" t="s">
        <v>29</v>
      </c>
      <c r="O10" s="1"/>
    </row>
    <row r="11" spans="1:15">
      <c r="A11" s="51" t="s">
        <v>62</v>
      </c>
      <c r="B11" s="51"/>
      <c r="C11" s="51"/>
      <c r="D11" s="51"/>
      <c r="E11" s="51"/>
      <c r="F11" s="51"/>
      <c r="G11" s="51"/>
      <c r="H11" s="51"/>
      <c r="I11" s="51"/>
      <c r="J11" s="51"/>
      <c r="K11" s="16">
        <f>2/12</f>
        <v>0.16666666666666666</v>
      </c>
      <c r="L11" s="16">
        <v>38.950000000000003</v>
      </c>
      <c r="M11" s="17">
        <v>26</v>
      </c>
      <c r="N11" s="11">
        <f>K11*L11*M11</f>
        <v>168.78333333333336</v>
      </c>
      <c r="O11" s="1"/>
    </row>
    <row r="12" spans="1:15">
      <c r="A12" s="51" t="s">
        <v>15</v>
      </c>
      <c r="B12" s="51"/>
      <c r="C12" s="51"/>
      <c r="D12" s="51"/>
      <c r="E12" s="51"/>
      <c r="F12" s="51"/>
      <c r="G12" s="51"/>
      <c r="H12" s="51"/>
      <c r="I12" s="51"/>
      <c r="J12" s="51"/>
      <c r="K12" s="18">
        <f>2/12</f>
        <v>0.16666666666666666</v>
      </c>
      <c r="L12" s="18">
        <v>37.950000000000003</v>
      </c>
      <c r="M12" s="17">
        <v>26</v>
      </c>
      <c r="N12" s="11">
        <f t="shared" ref="N12:N17" si="9">K12*L12*M12</f>
        <v>164.45000000000002</v>
      </c>
      <c r="O12" s="1"/>
    </row>
    <row r="13" spans="1:15">
      <c r="A13" s="51" t="s">
        <v>50</v>
      </c>
      <c r="B13" s="51"/>
      <c r="C13" s="51"/>
      <c r="D13" s="51"/>
      <c r="E13" s="51"/>
      <c r="F13" s="51"/>
      <c r="G13" s="51"/>
      <c r="H13" s="51"/>
      <c r="I13" s="51"/>
      <c r="J13" s="51"/>
      <c r="K13" s="18">
        <f>3/12</f>
        <v>0.25</v>
      </c>
      <c r="L13" s="18">
        <v>36.950000000000003</v>
      </c>
      <c r="M13" s="17">
        <v>26</v>
      </c>
      <c r="N13" s="11">
        <f t="shared" si="9"/>
        <v>240.17500000000001</v>
      </c>
      <c r="O13" s="1"/>
    </row>
    <row r="14" spans="1:15">
      <c r="A14" s="51" t="s">
        <v>63</v>
      </c>
      <c r="B14" s="51"/>
      <c r="C14" s="51"/>
      <c r="D14" s="51"/>
      <c r="E14" s="51"/>
      <c r="F14" s="51"/>
      <c r="G14" s="51"/>
      <c r="H14" s="51"/>
      <c r="I14" s="51"/>
      <c r="J14" s="51"/>
      <c r="K14" s="16">
        <f>12/12</f>
        <v>1</v>
      </c>
      <c r="L14" s="16">
        <v>8.99</v>
      </c>
      <c r="M14" s="17">
        <v>15</v>
      </c>
      <c r="N14" s="11">
        <f t="shared" si="9"/>
        <v>134.85</v>
      </c>
      <c r="O14" s="1"/>
    </row>
    <row r="15" spans="1:15">
      <c r="A15" s="51" t="s">
        <v>46</v>
      </c>
      <c r="B15" s="51"/>
      <c r="C15" s="51"/>
      <c r="D15" s="51"/>
      <c r="E15" s="51"/>
      <c r="F15" s="51"/>
      <c r="G15" s="51"/>
      <c r="H15" s="51"/>
      <c r="I15" s="51"/>
      <c r="J15" s="51"/>
      <c r="K15" s="11">
        <f>2/12</f>
        <v>0.16666666666666666</v>
      </c>
      <c r="L15" s="11">
        <v>38.17</v>
      </c>
      <c r="M15" s="17">
        <v>26</v>
      </c>
      <c r="N15" s="11">
        <f t="shared" si="9"/>
        <v>165.40333333333334</v>
      </c>
      <c r="O15" s="1"/>
    </row>
    <row r="16" spans="1:15">
      <c r="A16" s="52" t="s">
        <v>64</v>
      </c>
      <c r="B16" s="52"/>
      <c r="C16" s="52"/>
      <c r="D16" s="52"/>
      <c r="E16" s="52"/>
      <c r="F16" s="52"/>
      <c r="G16" s="52"/>
      <c r="H16" s="52"/>
      <c r="I16" s="52"/>
      <c r="J16" s="52"/>
      <c r="K16" s="11">
        <v>0.5</v>
      </c>
      <c r="L16" s="11">
        <v>9.85</v>
      </c>
      <c r="M16" s="17">
        <v>26</v>
      </c>
      <c r="N16" s="11">
        <f t="shared" si="9"/>
        <v>128.04999999999998</v>
      </c>
      <c r="O16" s="1"/>
    </row>
    <row r="17" spans="1:15">
      <c r="A17" s="51" t="s">
        <v>47</v>
      </c>
      <c r="B17" s="51"/>
      <c r="C17" s="51"/>
      <c r="D17" s="51"/>
      <c r="E17" s="51"/>
      <c r="F17" s="51"/>
      <c r="G17" s="51"/>
      <c r="H17" s="51"/>
      <c r="I17" s="51"/>
      <c r="J17" s="51"/>
      <c r="K17" s="18">
        <f>1/12</f>
        <v>8.3333333333333329E-2</v>
      </c>
      <c r="L17" s="18">
        <v>2.89</v>
      </c>
      <c r="M17" s="17">
        <f>M15</f>
        <v>26</v>
      </c>
      <c r="N17" s="11">
        <f t="shared" si="9"/>
        <v>6.2616666666666667</v>
      </c>
      <c r="O17" s="1"/>
    </row>
    <row r="18" spans="1:15">
      <c r="A18" s="49" t="s">
        <v>54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19">
        <f>SUM(N11:N17)</f>
        <v>1007.9733333333332</v>
      </c>
      <c r="O18" s="1" t="s">
        <v>51</v>
      </c>
    </row>
    <row r="19" spans="1:15" ht="18" customHeight="1">
      <c r="A19" s="50" t="s">
        <v>55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1"/>
    </row>
    <row r="20" spans="1:15">
      <c r="A20" s="50" t="s">
        <v>16</v>
      </c>
      <c r="B20" s="50"/>
      <c r="C20" s="50"/>
      <c r="D20" s="50"/>
      <c r="E20" s="50"/>
      <c r="F20" s="50"/>
      <c r="G20" s="50"/>
      <c r="H20" s="50"/>
      <c r="I20" s="50"/>
      <c r="J20" s="15" t="s">
        <v>17</v>
      </c>
      <c r="K20" s="14" t="s">
        <v>18</v>
      </c>
      <c r="L20" s="14" t="s">
        <v>19</v>
      </c>
      <c r="M20" s="15" t="s">
        <v>20</v>
      </c>
      <c r="N20" s="12" t="s">
        <v>21</v>
      </c>
      <c r="O20" s="1"/>
    </row>
    <row r="21" spans="1:15">
      <c r="A21" s="48" t="s">
        <v>91</v>
      </c>
      <c r="B21" s="48"/>
      <c r="C21" s="48"/>
      <c r="D21" s="48"/>
      <c r="E21" s="48"/>
      <c r="F21" s="48"/>
      <c r="G21" s="48"/>
      <c r="H21" s="48"/>
      <c r="I21" s="48"/>
      <c r="J21" s="20">
        <v>6</v>
      </c>
      <c r="K21" s="16">
        <v>2115</v>
      </c>
      <c r="L21" s="16">
        <f t="shared" ref="L21:L22" si="10">J21*K21</f>
        <v>12690</v>
      </c>
      <c r="M21" s="11">
        <f t="shared" ref="M21:M22" si="11">L21*0.8</f>
        <v>10152</v>
      </c>
      <c r="N21" s="11">
        <f t="shared" ref="N21:N22" si="12">M21/60</f>
        <v>169.2</v>
      </c>
      <c r="O21" s="1"/>
    </row>
    <row r="22" spans="1:15">
      <c r="A22" s="48" t="s">
        <v>92</v>
      </c>
      <c r="B22" s="48"/>
      <c r="C22" s="48"/>
      <c r="D22" s="48"/>
      <c r="E22" s="48"/>
      <c r="F22" s="48"/>
      <c r="G22" s="48"/>
      <c r="H22" s="48"/>
      <c r="I22" s="48"/>
      <c r="J22" s="20">
        <v>6</v>
      </c>
      <c r="K22" s="16">
        <v>1259</v>
      </c>
      <c r="L22" s="16">
        <f t="shared" si="10"/>
        <v>7554</v>
      </c>
      <c r="M22" s="11">
        <f t="shared" si="11"/>
        <v>6043.2000000000007</v>
      </c>
      <c r="N22" s="11">
        <f t="shared" si="12"/>
        <v>100.72000000000001</v>
      </c>
      <c r="O22" s="1"/>
    </row>
    <row r="23" spans="1:15">
      <c r="A23" s="44" t="s">
        <v>95</v>
      </c>
      <c r="B23" s="44"/>
      <c r="C23" s="44"/>
      <c r="D23" s="44"/>
      <c r="E23" s="44"/>
      <c r="F23" s="44"/>
      <c r="G23" s="44"/>
      <c r="H23" s="44"/>
      <c r="I23" s="44"/>
      <c r="J23" s="20">
        <v>12</v>
      </c>
      <c r="K23" s="16">
        <v>450</v>
      </c>
      <c r="L23" s="16">
        <f>J23*K23</f>
        <v>5400</v>
      </c>
      <c r="M23" s="11">
        <f>L23*0.8</f>
        <v>4320</v>
      </c>
      <c r="N23" s="11">
        <f>M23/60</f>
        <v>72</v>
      </c>
      <c r="O23" s="1"/>
    </row>
    <row r="24" spans="1:15">
      <c r="A24" s="47" t="s">
        <v>98</v>
      </c>
      <c r="B24" s="47"/>
      <c r="C24" s="47"/>
      <c r="D24" s="47"/>
      <c r="E24" s="47"/>
      <c r="F24" s="47"/>
      <c r="G24" s="47"/>
      <c r="H24" s="47"/>
      <c r="I24" s="47"/>
      <c r="J24" s="20">
        <v>1</v>
      </c>
      <c r="K24" s="16">
        <v>52705</v>
      </c>
      <c r="L24" s="16">
        <f>J24*K24</f>
        <v>52705</v>
      </c>
      <c r="M24" s="11">
        <f>L24*0.8</f>
        <v>42164</v>
      </c>
      <c r="N24" s="11">
        <f>M24/120</f>
        <v>351.36666666666667</v>
      </c>
      <c r="O24" s="1"/>
    </row>
    <row r="25" spans="1:15">
      <c r="A25" s="49" t="s">
        <v>22</v>
      </c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19">
        <f>SUM(N21:N24)</f>
        <v>693.28666666666663</v>
      </c>
      <c r="O25" s="1"/>
    </row>
    <row r="26" spans="1:15" ht="22.5" customHeight="1">
      <c r="A26" s="50" t="s">
        <v>23</v>
      </c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1"/>
    </row>
    <row r="27" spans="1:15">
      <c r="A27" s="50" t="s">
        <v>96</v>
      </c>
      <c r="B27" s="50"/>
      <c r="C27" s="50"/>
      <c r="D27" s="50"/>
      <c r="E27" s="50"/>
      <c r="F27" s="50"/>
      <c r="G27" s="50"/>
      <c r="H27" s="50"/>
      <c r="I27" s="50"/>
      <c r="J27" s="15"/>
      <c r="K27" s="14"/>
      <c r="L27" s="14" t="s">
        <v>19</v>
      </c>
      <c r="M27" s="15" t="s">
        <v>24</v>
      </c>
      <c r="N27" s="12" t="s">
        <v>21</v>
      </c>
      <c r="O27" s="1"/>
    </row>
    <row r="28" spans="1:15">
      <c r="A28" s="47" t="s">
        <v>97</v>
      </c>
      <c r="B28" s="47"/>
      <c r="C28" s="47"/>
      <c r="D28" s="47"/>
      <c r="E28" s="47"/>
      <c r="F28" s="47"/>
      <c r="G28" s="47"/>
      <c r="H28" s="47"/>
      <c r="I28" s="47"/>
      <c r="J28" s="11">
        <v>0</v>
      </c>
      <c r="K28" s="16">
        <v>0</v>
      </c>
      <c r="L28" s="16">
        <v>52705</v>
      </c>
      <c r="M28" s="21">
        <v>5.0000000000000001E-3</v>
      </c>
      <c r="N28" s="11">
        <f>L28*M28</f>
        <v>263.52499999999998</v>
      </c>
      <c r="O28" s="1"/>
    </row>
    <row r="29" spans="1:15">
      <c r="A29" s="49" t="s">
        <v>56</v>
      </c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19">
        <f>SUM(N28:N28)</f>
        <v>263.52499999999998</v>
      </c>
      <c r="O29" s="1"/>
    </row>
    <row r="30" spans="1:15" ht="21" customHeight="1">
      <c r="A30" s="50" t="s">
        <v>25</v>
      </c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1"/>
    </row>
    <row r="31" spans="1:15">
      <c r="A31" s="50" t="s">
        <v>16</v>
      </c>
      <c r="B31" s="50"/>
      <c r="C31" s="50"/>
      <c r="D31" s="50"/>
      <c r="E31" s="50"/>
      <c r="F31" s="50"/>
      <c r="G31" s="50"/>
      <c r="H31" s="50"/>
      <c r="I31" s="50"/>
      <c r="J31" s="22" t="s">
        <v>17</v>
      </c>
      <c r="K31" s="22" t="s">
        <v>26</v>
      </c>
      <c r="L31" s="22" t="s">
        <v>27</v>
      </c>
      <c r="M31" s="15" t="s">
        <v>28</v>
      </c>
      <c r="N31" s="12" t="s">
        <v>29</v>
      </c>
      <c r="O31" s="1"/>
    </row>
    <row r="32" spans="1:15">
      <c r="A32" s="47" t="s">
        <v>30</v>
      </c>
      <c r="B32" s="47"/>
      <c r="C32" s="47"/>
      <c r="D32" s="47"/>
      <c r="E32" s="47"/>
      <c r="F32" s="47"/>
      <c r="G32" s="47"/>
      <c r="H32" s="47"/>
      <c r="I32" s="47"/>
      <c r="J32" s="22"/>
      <c r="K32" s="23"/>
      <c r="L32" s="23">
        <f>L24*0.03</f>
        <v>1581.1499999999999</v>
      </c>
      <c r="M32" s="24">
        <v>12</v>
      </c>
      <c r="N32" s="12">
        <f>L32/M32</f>
        <v>131.76249999999999</v>
      </c>
      <c r="O32" s="1"/>
    </row>
    <row r="33" spans="1:15">
      <c r="A33" s="50" t="s">
        <v>31</v>
      </c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12">
        <f>SUM(N32)</f>
        <v>131.76249999999999</v>
      </c>
      <c r="O33" s="1"/>
    </row>
    <row r="34" spans="1:15" ht="27.75" customHeight="1">
      <c r="A34" s="50" t="s">
        <v>84</v>
      </c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1"/>
    </row>
    <row r="35" spans="1:15">
      <c r="A35" s="46" t="s">
        <v>16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14" t="s">
        <v>17</v>
      </c>
      <c r="M35" s="14" t="s">
        <v>26</v>
      </c>
      <c r="N35" s="12" t="s">
        <v>29</v>
      </c>
      <c r="O35" s="1"/>
    </row>
    <row r="36" spans="1:15" s="36" customFormat="1">
      <c r="A36" s="41" t="s">
        <v>99</v>
      </c>
      <c r="B36" s="42"/>
      <c r="C36" s="42"/>
      <c r="D36" s="42"/>
      <c r="E36" s="42"/>
      <c r="F36" s="42"/>
      <c r="G36" s="42"/>
      <c r="H36" s="42"/>
      <c r="I36" s="42"/>
      <c r="J36" s="42"/>
      <c r="K36" s="43"/>
      <c r="L36" s="35"/>
      <c r="M36" s="35"/>
      <c r="N36" s="11">
        <v>2500</v>
      </c>
      <c r="O36" s="1"/>
    </row>
    <row r="37" spans="1:15">
      <c r="A37" s="45" t="s">
        <v>85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25">
        <f>2/12*8</f>
        <v>1.3333333333333333</v>
      </c>
      <c r="M37" s="26">
        <v>30</v>
      </c>
      <c r="N37" s="11">
        <f>L37*M37</f>
        <v>40</v>
      </c>
      <c r="O37" s="1"/>
    </row>
    <row r="38" spans="1:15">
      <c r="A38" s="45" t="s">
        <v>86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25">
        <f>2/12*16</f>
        <v>2.6666666666666665</v>
      </c>
      <c r="M38" s="27">
        <v>31</v>
      </c>
      <c r="N38" s="11">
        <f t="shared" ref="N38:N39" si="13">L38*M38</f>
        <v>82.666666666666657</v>
      </c>
      <c r="O38" s="1"/>
    </row>
    <row r="39" spans="1:15">
      <c r="A39" s="45" t="s">
        <v>87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25">
        <f>2/12*8</f>
        <v>1.3333333333333333</v>
      </c>
      <c r="M39" s="27">
        <v>28</v>
      </c>
      <c r="N39" s="11">
        <f t="shared" si="13"/>
        <v>37.333333333333329</v>
      </c>
      <c r="O39" s="1"/>
    </row>
    <row r="40" spans="1:15">
      <c r="A40" s="50" t="s">
        <v>31</v>
      </c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12">
        <f>SUM(N36:N39)</f>
        <v>2660</v>
      </c>
      <c r="O40" s="1"/>
    </row>
    <row r="41" spans="1:15" ht="18.75" customHeight="1">
      <c r="A41" s="50" t="s">
        <v>57</v>
      </c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1"/>
    </row>
    <row r="42" spans="1:15">
      <c r="A42" s="46" t="s">
        <v>16</v>
      </c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22" t="s">
        <v>13</v>
      </c>
      <c r="M42" s="22" t="s">
        <v>75</v>
      </c>
      <c r="N42" s="12" t="s">
        <v>29</v>
      </c>
      <c r="O42" s="1"/>
    </row>
    <row r="43" spans="1:15">
      <c r="A43" s="44" t="s">
        <v>73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22">
        <v>36</v>
      </c>
      <c r="M43" s="28">
        <v>2.25</v>
      </c>
      <c r="N43" s="11">
        <f>L43*M43</f>
        <v>81</v>
      </c>
      <c r="O43" s="1"/>
    </row>
    <row r="44" spans="1:15">
      <c r="A44" s="44" t="s">
        <v>72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22">
        <v>24</v>
      </c>
      <c r="M44" s="28">
        <v>2.25</v>
      </c>
      <c r="N44" s="11">
        <f t="shared" ref="N44:N61" si="14">L44*M44</f>
        <v>54</v>
      </c>
      <c r="O44" s="1"/>
    </row>
    <row r="45" spans="1:15">
      <c r="A45" s="44" t="s">
        <v>70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22">
        <v>4</v>
      </c>
      <c r="M45" s="28">
        <v>4.75</v>
      </c>
      <c r="N45" s="11">
        <f t="shared" si="14"/>
        <v>19</v>
      </c>
      <c r="O45" s="1"/>
    </row>
    <row r="46" spans="1:15">
      <c r="A46" s="59" t="s">
        <v>67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22">
        <v>4</v>
      </c>
      <c r="M46" s="28">
        <v>8.5399999999999991</v>
      </c>
      <c r="N46" s="11">
        <f t="shared" si="14"/>
        <v>34.159999999999997</v>
      </c>
      <c r="O46" s="1"/>
    </row>
    <row r="47" spans="1:15">
      <c r="A47" s="59" t="s">
        <v>68</v>
      </c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22">
        <v>22</v>
      </c>
      <c r="M47" s="28">
        <v>22</v>
      </c>
      <c r="N47" s="11">
        <f t="shared" si="14"/>
        <v>484</v>
      </c>
      <c r="O47" s="1"/>
    </row>
    <row r="48" spans="1:15">
      <c r="A48" s="44" t="s">
        <v>65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22">
        <v>4</v>
      </c>
      <c r="M48" s="28">
        <v>4.5999999999999996</v>
      </c>
      <c r="N48" s="11">
        <f t="shared" si="14"/>
        <v>18.399999999999999</v>
      </c>
      <c r="O48" s="1"/>
    </row>
    <row r="49" spans="1:15">
      <c r="A49" s="44" t="s">
        <v>58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22">
        <v>8</v>
      </c>
      <c r="M49" s="29">
        <v>36.9</v>
      </c>
      <c r="N49" s="11">
        <f t="shared" si="14"/>
        <v>295.2</v>
      </c>
      <c r="O49" s="1"/>
    </row>
    <row r="50" spans="1:15" ht="15.6" customHeight="1">
      <c r="A50" s="44" t="s">
        <v>76</v>
      </c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22">
        <v>10</v>
      </c>
      <c r="M50" s="29">
        <v>10.9</v>
      </c>
      <c r="N50" s="11">
        <f t="shared" si="14"/>
        <v>109</v>
      </c>
      <c r="O50" s="1"/>
    </row>
    <row r="51" spans="1:15">
      <c r="A51" s="44" t="s">
        <v>77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22">
        <v>4</v>
      </c>
      <c r="M51" s="29">
        <v>12.3</v>
      </c>
      <c r="N51" s="11">
        <f t="shared" si="14"/>
        <v>49.2</v>
      </c>
      <c r="O51" s="1"/>
    </row>
    <row r="52" spans="1:15">
      <c r="A52" s="44" t="s">
        <v>78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22">
        <v>16</v>
      </c>
      <c r="M52" s="29">
        <v>6.48</v>
      </c>
      <c r="N52" s="11">
        <f t="shared" si="14"/>
        <v>103.68</v>
      </c>
      <c r="O52" s="1"/>
    </row>
    <row r="53" spans="1:15">
      <c r="A53" s="44" t="s">
        <v>79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22">
        <v>16</v>
      </c>
      <c r="M53" s="29">
        <v>4.2</v>
      </c>
      <c r="N53" s="11">
        <f t="shared" si="14"/>
        <v>67.2</v>
      </c>
      <c r="O53" s="1"/>
    </row>
    <row r="54" spans="1:15">
      <c r="A54" s="44" t="s">
        <v>66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22">
        <v>16</v>
      </c>
      <c r="M54" s="29">
        <v>1.92</v>
      </c>
      <c r="N54" s="11">
        <f t="shared" si="14"/>
        <v>30.72</v>
      </c>
      <c r="O54" s="1"/>
    </row>
    <row r="55" spans="1:15">
      <c r="A55" s="44" t="s">
        <v>71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22">
        <v>8</v>
      </c>
      <c r="M55" s="29">
        <v>2.57</v>
      </c>
      <c r="N55" s="11">
        <f t="shared" si="14"/>
        <v>20.56</v>
      </c>
      <c r="O55" s="1"/>
    </row>
    <row r="56" spans="1:15">
      <c r="A56" s="44" t="s">
        <v>74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22">
        <v>12</v>
      </c>
      <c r="M56" s="29">
        <v>3.44</v>
      </c>
      <c r="N56" s="11">
        <f t="shared" si="14"/>
        <v>41.28</v>
      </c>
      <c r="O56" s="1"/>
    </row>
    <row r="57" spans="1:15">
      <c r="A57" s="44" t="s">
        <v>82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22">
        <v>8</v>
      </c>
      <c r="M57" s="29">
        <v>2.1</v>
      </c>
      <c r="N57" s="11">
        <f t="shared" si="14"/>
        <v>16.8</v>
      </c>
      <c r="O57" s="1"/>
    </row>
    <row r="58" spans="1:15">
      <c r="A58" s="44" t="s">
        <v>80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22">
        <v>12</v>
      </c>
      <c r="M58" s="29">
        <v>0.46</v>
      </c>
      <c r="N58" s="11">
        <f t="shared" si="14"/>
        <v>5.5200000000000005</v>
      </c>
      <c r="O58" s="1"/>
    </row>
    <row r="59" spans="1:15">
      <c r="A59" s="44" t="s">
        <v>81</v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22">
        <v>8</v>
      </c>
      <c r="M59" s="29">
        <v>1.5</v>
      </c>
      <c r="N59" s="11">
        <f t="shared" si="14"/>
        <v>12</v>
      </c>
      <c r="O59" s="1"/>
    </row>
    <row r="60" spans="1:15">
      <c r="A60" s="44" t="s">
        <v>83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22">
        <v>16</v>
      </c>
      <c r="M60" s="29">
        <v>5.8</v>
      </c>
      <c r="N60" s="11">
        <f t="shared" si="14"/>
        <v>92.8</v>
      </c>
      <c r="O60" s="1"/>
    </row>
    <row r="61" spans="1:15">
      <c r="A61" s="44" t="s">
        <v>69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22">
        <v>4</v>
      </c>
      <c r="M61" s="29">
        <v>3.71</v>
      </c>
      <c r="N61" s="11">
        <f t="shared" si="14"/>
        <v>14.84</v>
      </c>
      <c r="O61" s="1"/>
    </row>
    <row r="62" spans="1:15">
      <c r="A62" s="47" t="s">
        <v>31</v>
      </c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12">
        <f>SUM(N43:N61)</f>
        <v>1549.36</v>
      </c>
      <c r="O62" s="1"/>
    </row>
    <row r="63" spans="1:15">
      <c r="A63" s="38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40"/>
      <c r="N63" s="12"/>
      <c r="O63" s="1"/>
    </row>
    <row r="64" spans="1:15">
      <c r="A64" s="50" t="s">
        <v>32</v>
      </c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12">
        <f>(N8+N18+N25+N29+N33+N40+N62)</f>
        <v>134356.14470755553</v>
      </c>
      <c r="O64" s="1"/>
    </row>
    <row r="65" spans="1:21" ht="21.75" customHeight="1">
      <c r="A65" s="50" t="s">
        <v>88</v>
      </c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1"/>
    </row>
    <row r="66" spans="1:21" ht="16.149999999999999" customHeight="1">
      <c r="A66" s="50" t="s">
        <v>33</v>
      </c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22" t="s">
        <v>34</v>
      </c>
      <c r="M66" s="15" t="s">
        <v>24</v>
      </c>
      <c r="N66" s="12" t="s">
        <v>29</v>
      </c>
      <c r="O66" s="1"/>
    </row>
    <row r="67" spans="1:21">
      <c r="A67" s="56" t="s">
        <v>35</v>
      </c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23">
        <v>2500</v>
      </c>
      <c r="M67" s="17">
        <v>1</v>
      </c>
      <c r="N67" s="11">
        <f>L67*M67</f>
        <v>2500</v>
      </c>
      <c r="O67" s="1"/>
    </row>
    <row r="68" spans="1:21">
      <c r="A68" s="50" t="s">
        <v>31</v>
      </c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12">
        <f>SUM(N67)</f>
        <v>2500</v>
      </c>
      <c r="O68" s="1"/>
    </row>
    <row r="69" spans="1:21" ht="29.25" customHeight="1">
      <c r="A69" s="55" t="s">
        <v>36</v>
      </c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30">
        <f>N64+N68</f>
        <v>136856.14470755553</v>
      </c>
      <c r="O69" s="1"/>
    </row>
    <row r="70" spans="1:21" ht="22.5" customHeight="1">
      <c r="A70" s="50" t="s">
        <v>89</v>
      </c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1"/>
    </row>
    <row r="71" spans="1:21">
      <c r="A71" s="47" t="s">
        <v>33</v>
      </c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8" t="s">
        <v>37</v>
      </c>
      <c r="M71" s="17" t="s">
        <v>24</v>
      </c>
      <c r="N71" s="12" t="s">
        <v>29</v>
      </c>
      <c r="O71" s="1"/>
      <c r="S71" s="4"/>
    </row>
    <row r="72" spans="1:21">
      <c r="A72" s="47" t="s">
        <v>38</v>
      </c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8">
        <f>N69</f>
        <v>136856.14470755553</v>
      </c>
      <c r="M72" s="31">
        <v>10</v>
      </c>
      <c r="N72" s="11">
        <f>L72*M72/100</f>
        <v>13685.614470755554</v>
      </c>
      <c r="O72" s="1"/>
    </row>
    <row r="73" spans="1:21">
      <c r="A73" s="50" t="s">
        <v>39</v>
      </c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11">
        <f>SUM(N72)</f>
        <v>13685.614470755554</v>
      </c>
      <c r="O73" s="1"/>
    </row>
    <row r="74" spans="1:21" ht="28.5" customHeight="1">
      <c r="A74" s="50" t="s">
        <v>40</v>
      </c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12">
        <f>N69+N73</f>
        <v>150541.7591783111</v>
      </c>
      <c r="O74" s="1"/>
      <c r="S74" s="4"/>
      <c r="U74" s="37"/>
    </row>
    <row r="75" spans="1:21" ht="21.75" customHeight="1">
      <c r="A75" s="50" t="s">
        <v>90</v>
      </c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1"/>
    </row>
    <row r="76" spans="1:21">
      <c r="A76" s="47" t="s">
        <v>33</v>
      </c>
      <c r="B76" s="47"/>
      <c r="C76" s="47"/>
      <c r="D76" s="47"/>
      <c r="E76" s="47"/>
      <c r="F76" s="47"/>
      <c r="G76" s="47"/>
      <c r="H76" s="47"/>
      <c r="I76" s="47"/>
      <c r="J76" s="47"/>
      <c r="K76" s="47"/>
      <c r="L76" s="8" t="s">
        <v>41</v>
      </c>
      <c r="M76" s="17" t="s">
        <v>24</v>
      </c>
      <c r="N76" s="12" t="s">
        <v>29</v>
      </c>
      <c r="O76" s="1"/>
    </row>
    <row r="77" spans="1:21">
      <c r="A77" s="47" t="s">
        <v>42</v>
      </c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8">
        <f>N74</f>
        <v>150541.7591783111</v>
      </c>
      <c r="M77" s="17">
        <v>3.65</v>
      </c>
      <c r="N77" s="11">
        <f>L77*M77/100</f>
        <v>5494.7742100083551</v>
      </c>
      <c r="O77" s="1"/>
    </row>
    <row r="78" spans="1:21">
      <c r="A78" s="47" t="s">
        <v>43</v>
      </c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8">
        <f>L77</f>
        <v>150541.7591783111</v>
      </c>
      <c r="M78" s="17">
        <v>3</v>
      </c>
      <c r="N78" s="11">
        <f>L78*M78/100</f>
        <v>4516.2527753493332</v>
      </c>
      <c r="O78" s="1"/>
    </row>
    <row r="79" spans="1:21" ht="15.6" customHeight="1">
      <c r="A79" s="50" t="s">
        <v>44</v>
      </c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12">
        <f>SUM(N77:N78)</f>
        <v>10011.026985357688</v>
      </c>
      <c r="O79" s="1"/>
    </row>
    <row r="80" spans="1:21" ht="15.75">
      <c r="A80" s="57" t="s">
        <v>45</v>
      </c>
      <c r="B80" s="57"/>
      <c r="C80" s="57"/>
      <c r="D80" s="57"/>
      <c r="E80" s="57"/>
      <c r="F80" s="57"/>
      <c r="G80" s="57"/>
      <c r="H80" s="57"/>
      <c r="I80" s="57"/>
      <c r="J80" s="57"/>
      <c r="K80" s="57"/>
      <c r="L80" s="57"/>
      <c r="M80" s="57"/>
      <c r="N80" s="32">
        <f>N74+N79</f>
        <v>160552.78616366879</v>
      </c>
      <c r="O80" s="1"/>
      <c r="P80" s="4"/>
    </row>
    <row r="81" spans="1:15">
      <c r="A81" s="58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1"/>
    </row>
    <row r="82" spans="1:15">
      <c r="O82" s="1"/>
    </row>
    <row r="83" spans="1:15">
      <c r="N83" s="34"/>
      <c r="O83" s="1"/>
    </row>
    <row r="84" spans="1:15">
      <c r="O84" s="1"/>
    </row>
  </sheetData>
  <mergeCells count="76">
    <mergeCell ref="A52:K52"/>
    <mergeCell ref="A53:K53"/>
    <mergeCell ref="A44:K44"/>
    <mergeCell ref="A45:K45"/>
    <mergeCell ref="A46:K46"/>
    <mergeCell ref="A47:K47"/>
    <mergeCell ref="A40:M40"/>
    <mergeCell ref="A41:N41"/>
    <mergeCell ref="A49:K49"/>
    <mergeCell ref="A50:K50"/>
    <mergeCell ref="A51:K51"/>
    <mergeCell ref="A80:M80"/>
    <mergeCell ref="A81:N81"/>
    <mergeCell ref="A79:M79"/>
    <mergeCell ref="A78:K78"/>
    <mergeCell ref="A74:M74"/>
    <mergeCell ref="A75:N75"/>
    <mergeCell ref="A76:K76"/>
    <mergeCell ref="A77:K77"/>
    <mergeCell ref="A73:M73"/>
    <mergeCell ref="A69:M69"/>
    <mergeCell ref="A70:N70"/>
    <mergeCell ref="A65:N65"/>
    <mergeCell ref="A64:M64"/>
    <mergeCell ref="A68:M68"/>
    <mergeCell ref="A66:K66"/>
    <mergeCell ref="A67:K67"/>
    <mergeCell ref="A71:K71"/>
    <mergeCell ref="A72:K72"/>
    <mergeCell ref="A8:M8"/>
    <mergeCell ref="A1:N1"/>
    <mergeCell ref="A2:N2"/>
    <mergeCell ref="A9:N9"/>
    <mergeCell ref="A10:J10"/>
    <mergeCell ref="A11:J11"/>
    <mergeCell ref="A12:J12"/>
    <mergeCell ref="A18:M18"/>
    <mergeCell ref="A19:N19"/>
    <mergeCell ref="A20:I20"/>
    <mergeCell ref="A13:J13"/>
    <mergeCell ref="A14:J14"/>
    <mergeCell ref="A15:J15"/>
    <mergeCell ref="A17:J17"/>
    <mergeCell ref="A16:J16"/>
    <mergeCell ref="A21:I21"/>
    <mergeCell ref="A22:I22"/>
    <mergeCell ref="A37:K37"/>
    <mergeCell ref="A29:M29"/>
    <mergeCell ref="A30:N30"/>
    <mergeCell ref="A25:M25"/>
    <mergeCell ref="A26:N26"/>
    <mergeCell ref="A23:I23"/>
    <mergeCell ref="A24:I24"/>
    <mergeCell ref="A27:I27"/>
    <mergeCell ref="A28:I28"/>
    <mergeCell ref="A33:M33"/>
    <mergeCell ref="A34:N34"/>
    <mergeCell ref="A31:I31"/>
    <mergeCell ref="A32:I32"/>
    <mergeCell ref="A35:K35"/>
    <mergeCell ref="A63:M63"/>
    <mergeCell ref="A36:K36"/>
    <mergeCell ref="A56:K56"/>
    <mergeCell ref="A61:K61"/>
    <mergeCell ref="A58:K58"/>
    <mergeCell ref="A59:K59"/>
    <mergeCell ref="A57:K57"/>
    <mergeCell ref="A60:K60"/>
    <mergeCell ref="A48:K48"/>
    <mergeCell ref="A38:K38"/>
    <mergeCell ref="A39:K39"/>
    <mergeCell ref="A42:K42"/>
    <mergeCell ref="A43:K43"/>
    <mergeCell ref="A54:K54"/>
    <mergeCell ref="A55:K55"/>
    <mergeCell ref="A62:M62"/>
  </mergeCells>
  <printOptions horizontalCentered="1" verticalCentered="1"/>
  <pageMargins left="0" right="0" top="0.78740157480314965" bottom="0.78740157480314965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PMSA</cp:lastModifiedBy>
  <cp:lastPrinted>2026-09-15T15:06:18Z</cp:lastPrinted>
  <dcterms:created xsi:type="dcterms:W3CDTF">2013-12-27T17:04:44Z</dcterms:created>
  <dcterms:modified xsi:type="dcterms:W3CDTF">2026-09-21T14:08:30Z</dcterms:modified>
</cp:coreProperties>
</file>