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codeName="{DD97A8EA-9A9A-E61F-A557-7D5A7D7259CE}"/>
  <workbookPr codeName="EstaPasta_de_trabalho"/>
  <mc:AlternateContent xmlns:mc="http://schemas.openxmlformats.org/markup-compatibility/2006">
    <mc:Choice Requires="x15">
      <x15ac:absPath xmlns:x15ac="http://schemas.microsoft.com/office/spreadsheetml/2010/11/ac" url="D:\Luiz\2025\Projeto Pavimentação Asfáltica Distrito Industrial\"/>
    </mc:Choice>
  </mc:AlternateContent>
  <xr:revisionPtr revIDLastSave="0" documentId="8_{4B75651D-B7D5-4675-AA76-C2601F5B1655}" xr6:coauthVersionLast="47" xr6:coauthVersionMax="47" xr10:uidLastSave="{00000000-0000-0000-0000-000000000000}"/>
  <workbookProtection workbookAlgorithmName="SHA-512" workbookHashValue="tU0j8TiMG5DTWgv1Aje6l/xnzgID70lAC+evMLtfA0ghrgXz2vxevoW28ZD+0nosXydpCwJGTwEWfWyNiERjkg==" workbookSaltValue="d+QIAh9n0+B6JZE+JD2dlw==" workbookSpinCount="100000" lockStructure="1"/>
  <bookViews>
    <workbookView xWindow="-120" yWindow="-120" windowWidth="29040" windowHeight="15840" activeTab="2" xr2:uid="{00000000-000D-0000-FFFF-FFFF00000000}"/>
  </bookViews>
  <sheets>
    <sheet name="DADOS" sheetId="16" r:id="rId1"/>
    <sheet name="BDI (1)" sheetId="17" state="hidden" r:id="rId2"/>
    <sheet name="PO" sheetId="12" r:id="rId3"/>
    <sheet name="PLQ" sheetId="13"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CFF!$L$1:$X$45</definedName>
    <definedName name="_xlnm.Print_Area" localSheetId="0">DADOS!$A$1:$X$87</definedName>
    <definedName name="_xlnm.Print_Area" localSheetId="3">PLQ!$B$1:$P$46</definedName>
    <definedName name="_xlnm.Print_Area" localSheetId="2">PO!$K$1:$T$55</definedName>
    <definedName name="_xlnm.Database">TEXT(Import.DataBase,"mm-aaaa")</definedName>
    <definedName name="CFF.ColunaPadrão">CFF!$AC:$AC</definedName>
    <definedName name="CFF.Colunas">CFF!$P$10:$X$10</definedName>
    <definedName name="CFF.Dados">OFFSET(CFF!$L$17,1,0):OFFSET(CFF!$X$39,-1,-1)</definedName>
    <definedName name="CFF.IncluirLinha">MAX(PO!$V$12:$V$40)*CFF.NumLinha-ROW(CFF!$F$39)+ROW(CFF!$F$17)+1</definedName>
    <definedName name="CFF.Item">OFFSET(CFF!$L$17,1,0):OFFSET(CFF!$X$39,-1,-1)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OFFSET(PO!$M$12,1,0):OFFSET(PO!$M$40,-1,0)</definedName>
    <definedName name="Import.CR">DADOS!$A$29</definedName>
    <definedName name="Import.CTEF">DADOS!$A$43</definedName>
    <definedName name="Import.CustoUnitário">OFFSET(PO!$Q$12,1,0):OFFSET(PO!$Q$40,-1,0)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OFFSET(PO!$N$12,1,0):OFFSET(PO!$N$40,-1,0)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OFFSET(PO!$L$12,1,0):OFFSET(PO!$L$40,-1,0)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OFFSET(PO!$K$12,1,0):OFFSET(PO!$K$40,-1,0)</definedName>
    <definedName name="Import.Localidade">DADOS!$K$32</definedName>
    <definedName name="Import.LocalSINAPI">DADOS!$D$38</definedName>
    <definedName name="Import.Município">DADOS!$G$32</definedName>
    <definedName name="Import.Nível">OFFSET(PO!$J$12,1,0):OFFSET(PO!$J$40,-1,0)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OFFSET(PLQ!$F$12,1,0):OFFSET(PLQ!$P$40,-1,-1)</definedName>
    <definedName name="Import.POArred">PO!$X$3:$X$7</definedName>
    <definedName name="Import.PreçoTotal">OFFSET(PO!$T$12,1,0):OFFSET(PO!$T$40,-1,0)</definedName>
    <definedName name="Import.PreçoUnitário">OFFSET(PO!$S$12,1,0):OFFSET(PO!$S$40,-1,0)</definedName>
    <definedName name="Import.Programa">DADOS!$F$29</definedName>
    <definedName name="Import.Proponente">DADOS!$A$32</definedName>
    <definedName name="Import.Quantidade">OFFSET(PO!$P$12,1,0):OFFSET(PO!$P$40,-1,0)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OFFSET(PO!$O$12,1,0):OFFSET(PO!$O$40,-1,0)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OFFSET(PO!$Z$12,1,0):OFFSET(PO!$Z$40,-1,0)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PO!$K$41</definedName>
    <definedName name="linhaSINAPIxls" localSheetId="2">PO!$X1</definedName>
    <definedName name="ListaFornecedor">OFFSET(#REF!,0,0,MAX(#REF!)+1)</definedName>
    <definedName name="ListaIndice">OFFSET(#REF!,1,0,MAX(#REF!))</definedName>
    <definedName name="NCOMPOSICOES">2</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PLQ!$B$9:OFFSET(PLQ!$B$40,-1,0)</definedName>
    <definedName name="PLQ.LinhaPadrão">PLQ!$A$11:$P$11</definedName>
    <definedName name="PLQ.qtde.frentes">COUNTA(PLQ!$F$9:$P$9)</definedName>
    <definedName name="PO.BDI">OFFSET(PO!$R$12,1,0):OFFSET(PO!$R$40,-1,0)</definedName>
    <definedName name="PO.CustoRef">OFFSET(PO!$Y$12,1,0):OFFSET(PO!$Y$40,-1,0)</definedName>
    <definedName name="PO.CustoUnitario">ROUND(PO!$Q1,15-13*PO!$X$4)</definedName>
    <definedName name="PO.Dados">PO!$C$12:OFFSET(PO!$Z$40,-1,0)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A39" i="13" l="1"/>
  <c r="E39" i="13" s="1"/>
  <c r="P39" i="12" s="1"/>
  <c r="A38" i="13"/>
  <c r="E38" i="13" s="1"/>
  <c r="P38" i="12" s="1"/>
  <c r="A37" i="13"/>
  <c r="A36" i="13"/>
  <c r="E36" i="13" s="1"/>
  <c r="P36" i="12" s="1"/>
  <c r="W39" i="12"/>
  <c r="A39" i="12"/>
  <c r="X38" i="12"/>
  <c r="D38" i="13" s="1"/>
  <c r="W38" i="12"/>
  <c r="A38" i="12"/>
  <c r="W37" i="12"/>
  <c r="A37" i="12"/>
  <c r="I37" i="12" s="1"/>
  <c r="X36" i="12"/>
  <c r="W36" i="12"/>
  <c r="A36" i="12"/>
  <c r="A30" i="13"/>
  <c r="E30" i="13" s="1"/>
  <c r="P30" i="12" s="1"/>
  <c r="W30" i="12"/>
  <c r="A30" i="12"/>
  <c r="H30" i="12" s="1"/>
  <c r="A33" i="13"/>
  <c r="E33" i="13" s="1"/>
  <c r="P33" i="12" s="1"/>
  <c r="W33" i="12"/>
  <c r="A33" i="12"/>
  <c r="A27" i="13"/>
  <c r="E27" i="13" s="1"/>
  <c r="P27" i="12" s="1"/>
  <c r="A26" i="13"/>
  <c r="E26" i="13" s="1"/>
  <c r="P26" i="12" s="1"/>
  <c r="W27" i="12"/>
  <c r="A27" i="12"/>
  <c r="W26" i="12"/>
  <c r="A26" i="12"/>
  <c r="H26" i="12" s="1"/>
  <c r="A25" i="13"/>
  <c r="E25" i="13" s="1"/>
  <c r="P25" i="12" s="1"/>
  <c r="W25" i="12"/>
  <c r="A25" i="12"/>
  <c r="A18" i="13"/>
  <c r="E18" i="13" s="1"/>
  <c r="P18" i="12" s="1"/>
  <c r="W18" i="12"/>
  <c r="A18" i="12"/>
  <c r="I30" i="12" l="1"/>
  <c r="B30" i="12"/>
  <c r="D36" i="13"/>
  <c r="E37" i="13"/>
  <c r="P37" i="12" s="1"/>
  <c r="V39" i="12"/>
  <c r="V37" i="12"/>
  <c r="B39" i="12"/>
  <c r="B37" i="12"/>
  <c r="H39" i="12"/>
  <c r="H37" i="12"/>
  <c r="I39" i="12"/>
  <c r="V30" i="12"/>
  <c r="V33" i="12"/>
  <c r="B33" i="12"/>
  <c r="H33" i="12"/>
  <c r="I33" i="12"/>
  <c r="V27" i="12"/>
  <c r="B27" i="12"/>
  <c r="I26" i="12"/>
  <c r="H27" i="12"/>
  <c r="I27" i="12"/>
  <c r="V26" i="12"/>
  <c r="B26" i="12"/>
  <c r="V25" i="12"/>
  <c r="B25" i="12"/>
  <c r="H25" i="12"/>
  <c r="I25" i="12"/>
  <c r="V18" i="12"/>
  <c r="B18" i="12"/>
  <c r="H18" i="12"/>
  <c r="I18" i="12"/>
  <c r="C36" i="13" l="1"/>
  <c r="C38" i="13"/>
  <c r="A35" i="13" l="1"/>
  <c r="E35" i="13" s="1"/>
  <c r="P35" i="12" s="1"/>
  <c r="W35" i="12"/>
  <c r="A35" i="12"/>
  <c r="A24" i="13"/>
  <c r="E24" i="13" s="1"/>
  <c r="P24" i="12" s="1"/>
  <c r="W24" i="12"/>
  <c r="A24" i="12"/>
  <c r="V35" i="12" l="1"/>
  <c r="B35" i="12"/>
  <c r="H35" i="12"/>
  <c r="I35" i="12"/>
  <c r="V24" i="12"/>
  <c r="B24" i="12"/>
  <c r="H24" i="12"/>
  <c r="I24" i="12"/>
  <c r="A34" i="13" l="1"/>
  <c r="E34" i="13" s="1"/>
  <c r="P34" i="12" s="1"/>
  <c r="W34" i="12"/>
  <c r="A34" i="12"/>
  <c r="A32" i="13"/>
  <c r="W32" i="12"/>
  <c r="A32" i="12"/>
  <c r="V32" i="12" s="1"/>
  <c r="I32" i="12" l="1"/>
  <c r="E32" i="13"/>
  <c r="P32" i="12" s="1"/>
  <c r="B32" i="12"/>
  <c r="H32" i="12"/>
  <c r="A31" i="13" l="1"/>
  <c r="E31" i="13" s="1"/>
  <c r="P31" i="12" s="1"/>
  <c r="W31" i="12"/>
  <c r="A31" i="12"/>
  <c r="V31" i="12" l="1"/>
  <c r="B31" i="12"/>
  <c r="I31" i="12"/>
  <c r="H31" i="12"/>
  <c r="A29" i="13" l="1"/>
  <c r="E29" i="13" s="1"/>
  <c r="P29" i="12" s="1"/>
  <c r="A28" i="13"/>
  <c r="E28" i="13" s="1"/>
  <c r="P28" i="12" s="1"/>
  <c r="W29" i="12"/>
  <c r="A29" i="12"/>
  <c r="V29" i="12" s="1"/>
  <c r="X28" i="12"/>
  <c r="D28" i="13" s="1"/>
  <c r="W28" i="12"/>
  <c r="A28" i="12"/>
  <c r="A22" i="13"/>
  <c r="E22" i="13" s="1"/>
  <c r="P22" i="12" s="1"/>
  <c r="W22" i="12"/>
  <c r="A22" i="12"/>
  <c r="A20" i="13"/>
  <c r="E20" i="13" s="1"/>
  <c r="P20" i="12" s="1"/>
  <c r="W20" i="12"/>
  <c r="A20" i="12"/>
  <c r="A17" i="13"/>
  <c r="E17" i="13" s="1"/>
  <c r="P17" i="12" s="1"/>
  <c r="W17" i="12"/>
  <c r="A17" i="12"/>
  <c r="A21" i="13"/>
  <c r="W21" i="12"/>
  <c r="A21" i="12"/>
  <c r="B29" i="12" l="1"/>
  <c r="H29" i="12"/>
  <c r="I29" i="12"/>
  <c r="V22" i="12"/>
  <c r="B22" i="12"/>
  <c r="H22" i="12"/>
  <c r="I22" i="12"/>
  <c r="V20" i="12"/>
  <c r="B20" i="12"/>
  <c r="H20" i="12"/>
  <c r="I20" i="12"/>
  <c r="V17" i="12"/>
  <c r="B17" i="12"/>
  <c r="H17" i="12"/>
  <c r="I17" i="12"/>
  <c r="E21" i="13"/>
  <c r="P21" i="12" s="1"/>
  <c r="A15" i="13"/>
  <c r="E15" i="13" s="1"/>
  <c r="P15" i="12" s="1"/>
  <c r="W15" i="12"/>
  <c r="A15" i="12"/>
  <c r="C28" i="13" l="1"/>
  <c r="A19" i="13" l="1"/>
  <c r="E19" i="13" s="1"/>
  <c r="P19" i="12" s="1"/>
  <c r="X19" i="12"/>
  <c r="W19" i="12"/>
  <c r="A19" i="12"/>
  <c r="C19" i="13" s="1"/>
  <c r="D19" i="13" l="1"/>
  <c r="A23" i="13" l="1"/>
  <c r="E23" i="13" s="1"/>
  <c r="P23" i="12" s="1"/>
  <c r="A16" i="13"/>
  <c r="E16" i="13" s="1"/>
  <c r="P16" i="12" s="1"/>
  <c r="A14" i="13"/>
  <c r="E14" i="13" s="1"/>
  <c r="P14" i="12" s="1"/>
  <c r="W23" i="12"/>
  <c r="A23" i="12"/>
  <c r="W16" i="12"/>
  <c r="A16" i="12"/>
  <c r="H16" i="12" s="1"/>
  <c r="W14" i="12"/>
  <c r="A14" i="12"/>
  <c r="E7" i="13"/>
  <c r="P9" i="12"/>
  <c r="F10" i="13"/>
  <c r="G10" i="13" s="1"/>
  <c r="H10" i="13" s="1"/>
  <c r="I10" i="13" s="1"/>
  <c r="J10" i="13" s="1"/>
  <c r="K10" i="13" s="1"/>
  <c r="L10" i="13" s="1"/>
  <c r="M10" i="13" s="1"/>
  <c r="N10" i="13" s="1"/>
  <c r="O10" i="13" s="1"/>
  <c r="U10" i="13"/>
  <c r="AC9" i="11"/>
  <c r="AC10" i="11" s="1"/>
  <c r="K48" i="12"/>
  <c r="X13" i="12"/>
  <c r="W13" i="12"/>
  <c r="N24" i="17"/>
  <c r="N26" i="17" s="1"/>
  <c r="Q224" i="16"/>
  <c r="Q223" i="16"/>
  <c r="P2" i="11"/>
  <c r="A20" i="11"/>
  <c r="A23" i="11" s="1"/>
  <c r="Q10" i="12"/>
  <c r="Q11" i="17"/>
  <c r="I37" i="17" s="1"/>
  <c r="N8" i="11"/>
  <c r="O9" i="11"/>
  <c r="P9" i="11" s="1"/>
  <c r="O10" i="11"/>
  <c r="A13" i="11"/>
  <c r="M11" i="11" s="1"/>
  <c r="D17" i="11"/>
  <c r="L41" i="11"/>
  <c r="K54" i="12"/>
  <c r="B45" i="13" s="1"/>
  <c r="A11" i="13"/>
  <c r="E11" i="13" s="1"/>
  <c r="P11" i="12" s="1"/>
  <c r="X11" i="12"/>
  <c r="J12" i="12"/>
  <c r="A12" i="13" s="1"/>
  <c r="N12" i="12"/>
  <c r="U12" i="12" s="1"/>
  <c r="A13" i="13"/>
  <c r="K51" i="12"/>
  <c r="B42" i="13" s="1"/>
  <c r="N2" i="12"/>
  <c r="Y10" i="12"/>
  <c r="Z10" i="12"/>
  <c r="A11" i="12"/>
  <c r="C11" i="12" s="1"/>
  <c r="W11" i="12"/>
  <c r="A13" i="12"/>
  <c r="D13" i="12" s="1"/>
  <c r="N1" i="17"/>
  <c r="C2" i="17"/>
  <c r="A3" i="17"/>
  <c r="A4"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C29" i="17" s="1"/>
  <c r="I29" i="17"/>
  <c r="M32" i="17"/>
  <c r="I35" i="17"/>
  <c r="C38" i="17"/>
  <c r="A39" i="17"/>
  <c r="C39" i="17" s="1"/>
  <c r="C44" i="17"/>
  <c r="A45" i="17"/>
  <c r="C45" i="17" s="1"/>
  <c r="A46" i="17"/>
  <c r="A47" i="17" s="1"/>
  <c r="J47" i="17"/>
  <c r="J48" i="17"/>
  <c r="J49" i="17"/>
  <c r="J50" i="17"/>
  <c r="A55" i="16"/>
  <c r="G55" i="16" s="1"/>
  <c r="A56" i="16"/>
  <c r="G56" i="16"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W38" i="16"/>
  <c r="X38" i="16"/>
  <c r="U38" i="16"/>
  <c r="G57" i="16" l="1"/>
  <c r="C3" i="17"/>
  <c r="A5" i="17"/>
  <c r="A6" i="17" s="1"/>
  <c r="C6" i="17" s="1"/>
  <c r="C4" i="17"/>
  <c r="A48" i="17"/>
  <c r="C47" i="17"/>
  <c r="C46" i="17"/>
  <c r="A23" i="17"/>
  <c r="V16" i="12"/>
  <c r="A26" i="11"/>
  <c r="A29" i="11" s="1"/>
  <c r="A32" i="11" s="1"/>
  <c r="A35" i="11" s="1"/>
  <c r="B16" i="12"/>
  <c r="I16" i="12"/>
  <c r="I11" i="12"/>
  <c r="S13" i="12"/>
  <c r="V13" i="12"/>
  <c r="F13" i="12"/>
  <c r="F14" i="12" s="1"/>
  <c r="E13" i="12"/>
  <c r="E14" i="12" s="1"/>
  <c r="C13" i="12"/>
  <c r="C14" i="12" s="1"/>
  <c r="G13" i="12"/>
  <c r="G14" i="12" s="1"/>
  <c r="D11" i="12"/>
  <c r="H11" i="12"/>
  <c r="E11" i="12"/>
  <c r="G11" i="12"/>
  <c r="A5" i="12"/>
  <c r="V11" i="12"/>
  <c r="B11" i="12"/>
  <c r="N11" i="12"/>
  <c r="C11" i="13" s="1"/>
  <c r="I42" i="17"/>
  <c r="C12" i="13"/>
  <c r="L44" i="11"/>
  <c r="L11" i="11"/>
  <c r="A7" i="17"/>
  <c r="C7" i="17" s="1"/>
  <c r="Q9" i="11"/>
  <c r="R9" i="11" s="1"/>
  <c r="S9" i="11" s="1"/>
  <c r="T9" i="11" s="1"/>
  <c r="U9" i="11" s="1"/>
  <c r="V9" i="11" s="1"/>
  <c r="W9" i="11" s="1"/>
  <c r="P10" i="11"/>
  <c r="C13" i="13"/>
  <c r="A32" i="17"/>
  <c r="C5" i="17"/>
  <c r="I49" i="17"/>
  <c r="K13" i="11"/>
  <c r="N11" i="11" s="1"/>
  <c r="A40" i="17"/>
  <c r="A17" i="17"/>
  <c r="D14" i="12"/>
  <c r="C13" i="11"/>
  <c r="F13" i="11" s="1"/>
  <c r="O42" i="17"/>
  <c r="F11" i="12"/>
  <c r="S111" i="16"/>
  <c r="W227" i="16"/>
  <c r="X227" i="16"/>
  <c r="S112" i="16"/>
  <c r="U227" i="16"/>
  <c r="S109" i="16"/>
  <c r="S110" i="16"/>
  <c r="V227" i="16"/>
  <c r="O11" i="12"/>
  <c r="D11" i="13" s="1"/>
  <c r="Y11" i="12"/>
  <c r="M33" i="17"/>
  <c r="L32" i="17"/>
  <c r="N25" i="17"/>
  <c r="E13" i="13"/>
  <c r="P13" i="12" s="1"/>
  <c r="A38" i="11" l="1"/>
  <c r="P19" i="17"/>
  <c r="Q18" i="17"/>
  <c r="R19" i="17"/>
  <c r="V14" i="12"/>
  <c r="A49" i="17"/>
  <c r="C49" i="17" s="1"/>
  <c r="C48" i="17"/>
  <c r="P18" i="17"/>
  <c r="C23" i="17"/>
  <c r="A24" i="17"/>
  <c r="Q19" i="17"/>
  <c r="R18" i="17"/>
  <c r="C15" i="12"/>
  <c r="F15" i="12"/>
  <c r="F16" i="12" s="1"/>
  <c r="F17" i="12" s="1"/>
  <c r="F18" i="12" s="1"/>
  <c r="D15" i="12"/>
  <c r="D16" i="12" s="1"/>
  <c r="D17" i="12" s="1"/>
  <c r="D18" i="12" s="1"/>
  <c r="G15" i="12"/>
  <c r="G16" i="12" s="1"/>
  <c r="G17" i="12" s="1"/>
  <c r="G18" i="12" s="1"/>
  <c r="E15" i="12"/>
  <c r="E16" i="12" s="1"/>
  <c r="E17" i="12" s="1"/>
  <c r="E18" i="12" s="1"/>
  <c r="K13" i="12"/>
  <c r="L18" i="11" s="1"/>
  <c r="C20" i="11"/>
  <c r="E20" i="11" s="1"/>
  <c r="M18" i="11"/>
  <c r="K11" i="12"/>
  <c r="B11" i="13" s="1"/>
  <c r="U11" i="12"/>
  <c r="G13" i="11"/>
  <c r="Q10" i="11"/>
  <c r="S10" i="11" s="1"/>
  <c r="U10" i="11" s="1"/>
  <c r="W10" i="11" s="1"/>
  <c r="H13" i="11"/>
  <c r="E13" i="11"/>
  <c r="C40" i="17"/>
  <c r="A41" i="17"/>
  <c r="A33" i="17"/>
  <c r="C32" i="17"/>
  <c r="R10" i="11"/>
  <c r="T10" i="11" s="1"/>
  <c r="V10" i="11" s="1"/>
  <c r="B13" i="11"/>
  <c r="I13" i="11"/>
  <c r="J13" i="11"/>
  <c r="C17" i="17"/>
  <c r="R20" i="17" s="1"/>
  <c r="A18" i="17"/>
  <c r="K14" i="12"/>
  <c r="B14" i="13" s="1"/>
  <c r="O25" i="17"/>
  <c r="N27" i="17"/>
  <c r="T38" i="16"/>
  <c r="Z37" i="12" l="1"/>
  <c r="Z38" i="12"/>
  <c r="S38" i="12" s="1"/>
  <c r="Z39" i="12"/>
  <c r="Z36" i="12"/>
  <c r="S36" i="12" s="1"/>
  <c r="Z30" i="12"/>
  <c r="Z33" i="12"/>
  <c r="Z27" i="12"/>
  <c r="Z26" i="12"/>
  <c r="Z25" i="12"/>
  <c r="Z18" i="12"/>
  <c r="Z35" i="12"/>
  <c r="Z24" i="12"/>
  <c r="Z34" i="12"/>
  <c r="Z32" i="12"/>
  <c r="Z31" i="12"/>
  <c r="Z28" i="12"/>
  <c r="S28" i="12" s="1"/>
  <c r="Z29" i="12"/>
  <c r="Z22" i="12"/>
  <c r="Z20" i="12"/>
  <c r="Z17" i="12"/>
  <c r="V15" i="12"/>
  <c r="V19" i="12" s="1"/>
  <c r="Q20" i="17"/>
  <c r="P20" i="17"/>
  <c r="C24" i="17"/>
  <c r="A25" i="17"/>
  <c r="Z21" i="12"/>
  <c r="K15" i="12"/>
  <c r="B15" i="13" s="1"/>
  <c r="Z15" i="12"/>
  <c r="C16" i="12"/>
  <c r="C17" i="12" s="1"/>
  <c r="O27" i="17"/>
  <c r="B13" i="13"/>
  <c r="Z19" i="12"/>
  <c r="S19" i="12" s="1"/>
  <c r="H20" i="11"/>
  <c r="F20" i="11"/>
  <c r="G20" i="11"/>
  <c r="C41" i="17"/>
  <c r="A42" i="17"/>
  <c r="A19" i="17"/>
  <c r="C18" i="17"/>
  <c r="R13" i="11"/>
  <c r="T12" i="11"/>
  <c r="S12" i="11"/>
  <c r="U12" i="11"/>
  <c r="U13" i="11"/>
  <c r="T11" i="11"/>
  <c r="AC11" i="11"/>
  <c r="V13" i="11"/>
  <c r="AC12" i="11"/>
  <c r="Q12" i="11"/>
  <c r="R12" i="11"/>
  <c r="R11" i="11"/>
  <c r="Q13" i="11"/>
  <c r="P12" i="11"/>
  <c r="W12" i="11"/>
  <c r="V11" i="11"/>
  <c r="W13" i="11"/>
  <c r="P11" i="11"/>
  <c r="T13" i="11"/>
  <c r="U11" i="11"/>
  <c r="P13" i="11"/>
  <c r="AC13" i="11"/>
  <c r="W11" i="11"/>
  <c r="S11" i="11"/>
  <c r="Q11" i="11"/>
  <c r="V12" i="11"/>
  <c r="S13" i="11"/>
  <c r="D13" i="11"/>
  <c r="C33" i="17"/>
  <c r="A34" i="17"/>
  <c r="C34" i="17" s="1"/>
  <c r="Z14" i="12"/>
  <c r="S14" i="12" s="1"/>
  <c r="Z13" i="12"/>
  <c r="S108" i="16"/>
  <c r="Z11" i="12"/>
  <c r="S11" i="12" s="1"/>
  <c r="T11" i="12" s="1"/>
  <c r="Z23" i="12"/>
  <c r="Z16" i="12"/>
  <c r="T227" i="16"/>
  <c r="K17" i="12" l="1"/>
  <c r="B17" i="13" s="1"/>
  <c r="C18" i="12"/>
  <c r="K18" i="12" s="1"/>
  <c r="B18" i="13" s="1"/>
  <c r="V23" i="12"/>
  <c r="V21" i="12"/>
  <c r="P21" i="17"/>
  <c r="R21" i="17"/>
  <c r="Q21" i="17"/>
  <c r="C25" i="17"/>
  <c r="A26" i="17"/>
  <c r="C26" i="17" s="1"/>
  <c r="K16" i="12"/>
  <c r="B16" i="13" s="1"/>
  <c r="E19" i="12"/>
  <c r="E20" i="12" s="1"/>
  <c r="F19" i="12"/>
  <c r="F20" i="12" s="1"/>
  <c r="C19" i="17"/>
  <c r="R26" i="17" s="1"/>
  <c r="A20" i="17"/>
  <c r="C20" i="17" s="1"/>
  <c r="A43" i="17"/>
  <c r="C43" i="17" s="1"/>
  <c r="C42" i="17"/>
  <c r="R22" i="17" l="1"/>
  <c r="Q26" i="17"/>
  <c r="P26" i="17"/>
  <c r="O26" i="17" s="1"/>
  <c r="V27" i="17" s="1"/>
  <c r="T16" i="17" s="1"/>
  <c r="Q22" i="17"/>
  <c r="P22" i="17"/>
  <c r="E21" i="12"/>
  <c r="F21" i="12"/>
  <c r="C23" i="11"/>
  <c r="H23" i="11" s="1"/>
  <c r="C26" i="11"/>
  <c r="H26" i="11" s="1"/>
  <c r="D19" i="12"/>
  <c r="D20" i="12" s="1"/>
  <c r="F22" i="12" l="1"/>
  <c r="F23" i="12" s="1"/>
  <c r="F24" i="12" s="1"/>
  <c r="F25" i="12" s="1"/>
  <c r="F26" i="12" s="1"/>
  <c r="F27" i="12" s="1"/>
  <c r="E22" i="12"/>
  <c r="E23" i="12" s="1"/>
  <c r="E24" i="12" s="1"/>
  <c r="E25" i="12" s="1"/>
  <c r="E26" i="12" s="1"/>
  <c r="E27" i="12" s="1"/>
  <c r="D21" i="12"/>
  <c r="G26" i="11"/>
  <c r="B23" i="11"/>
  <c r="B20" i="11"/>
  <c r="E23" i="11"/>
  <c r="G23" i="11"/>
  <c r="F23" i="11"/>
  <c r="F26" i="11" s="1"/>
  <c r="D22" i="12" l="1"/>
  <c r="D23" i="12" s="1"/>
  <c r="D24" i="12" s="1"/>
  <c r="D25" i="12" s="1"/>
  <c r="D26" i="12" s="1"/>
  <c r="D27" i="12" s="1"/>
  <c r="V21" i="11"/>
  <c r="R21" i="11"/>
  <c r="S21" i="11"/>
  <c r="T21" i="11"/>
  <c r="U21" i="11"/>
  <c r="P22" i="11"/>
  <c r="AC21" i="11"/>
  <c r="AC22" i="11" s="1"/>
  <c r="W21" i="11"/>
  <c r="E26" i="11"/>
  <c r="C19" i="12"/>
  <c r="C20" i="12" s="1"/>
  <c r="Q22" i="11" l="1"/>
  <c r="R22" i="11" s="1"/>
  <c r="S22" i="11" s="1"/>
  <c r="T22" i="11" s="1"/>
  <c r="J23" i="11"/>
  <c r="C21" i="12"/>
  <c r="C22" i="12" s="1"/>
  <c r="C23" i="12" l="1"/>
  <c r="C24" i="12" s="1"/>
  <c r="C25" i="12" s="1"/>
  <c r="C26" i="12" s="1"/>
  <c r="U22" i="11"/>
  <c r="C27" i="12" l="1"/>
  <c r="V28" i="12"/>
  <c r="V22" i="11"/>
  <c r="G19" i="12"/>
  <c r="G20" i="12" s="1"/>
  <c r="K20" i="12" s="1"/>
  <c r="B20" i="13" s="1"/>
  <c r="V34" i="12" l="1"/>
  <c r="V36" i="12" s="1"/>
  <c r="V38" i="12" s="1"/>
  <c r="C29" i="11"/>
  <c r="K19" i="12"/>
  <c r="B19" i="13" s="1"/>
  <c r="G21" i="12"/>
  <c r="W22" i="11"/>
  <c r="C32" i="11" l="1"/>
  <c r="C38" i="11"/>
  <c r="M36" i="11"/>
  <c r="C35" i="11"/>
  <c r="B32" i="11" s="1"/>
  <c r="M33" i="11"/>
  <c r="B26" i="11"/>
  <c r="F29" i="11"/>
  <c r="H29" i="11"/>
  <c r="G29" i="11"/>
  <c r="E29" i="11"/>
  <c r="E32" i="11" s="1"/>
  <c r="K21" i="12"/>
  <c r="B21" i="13" s="1"/>
  <c r="G22" i="12"/>
  <c r="K22" i="12" s="1"/>
  <c r="B22" i="13" s="1"/>
  <c r="H32" i="11"/>
  <c r="G32" i="11"/>
  <c r="F32" i="11"/>
  <c r="B29" i="11"/>
  <c r="I14" i="12"/>
  <c r="G35" i="11" l="1"/>
  <c r="B35" i="11"/>
  <c r="H35" i="11"/>
  <c r="F35" i="11"/>
  <c r="E35" i="11"/>
  <c r="B38" i="11"/>
  <c r="I38" i="11"/>
  <c r="F38" i="11"/>
  <c r="H38" i="11"/>
  <c r="G38" i="11"/>
  <c r="G23" i="12"/>
  <c r="AC30" i="11"/>
  <c r="AC31" i="11" s="1"/>
  <c r="W30" i="11"/>
  <c r="V30" i="11"/>
  <c r="U30" i="11"/>
  <c r="T30" i="11"/>
  <c r="S30" i="11"/>
  <c r="R30" i="11"/>
  <c r="P31" i="11"/>
  <c r="E38" i="11" l="1"/>
  <c r="AC33" i="11"/>
  <c r="AC34" i="11" s="1"/>
  <c r="Q33" i="11"/>
  <c r="T33" i="11"/>
  <c r="S33" i="11"/>
  <c r="U33" i="11"/>
  <c r="W33" i="11"/>
  <c r="P33" i="11"/>
  <c r="P34" i="11" s="1"/>
  <c r="V33" i="11"/>
  <c r="U36" i="11"/>
  <c r="Q36" i="11"/>
  <c r="T36" i="11"/>
  <c r="S36" i="11"/>
  <c r="AC37" i="11"/>
  <c r="P36" i="11"/>
  <c r="P37" i="11" s="1"/>
  <c r="W36" i="11"/>
  <c r="AC36" i="11"/>
  <c r="V36" i="11"/>
  <c r="J29" i="11"/>
  <c r="K23" i="12"/>
  <c r="B23" i="13" s="1"/>
  <c r="G24" i="12"/>
  <c r="Q31" i="11"/>
  <c r="I20" i="11"/>
  <c r="J20" i="11"/>
  <c r="Q34" i="11" l="1"/>
  <c r="R34" i="11" s="1"/>
  <c r="Q37" i="11"/>
  <c r="I35" i="11"/>
  <c r="J38" i="11"/>
  <c r="D38" i="11" s="1"/>
  <c r="J35" i="11"/>
  <c r="D35" i="11" s="1"/>
  <c r="K24" i="12"/>
  <c r="B24" i="13" s="1"/>
  <c r="G25" i="12"/>
  <c r="F28" i="12"/>
  <c r="F29" i="12" s="1"/>
  <c r="E28" i="12"/>
  <c r="E29" i="12" s="1"/>
  <c r="D20" i="11"/>
  <c r="R31" i="11"/>
  <c r="I23" i="12"/>
  <c r="H23" i="12"/>
  <c r="S34" i="11" l="1"/>
  <c r="R37" i="11"/>
  <c r="E30" i="12"/>
  <c r="E31" i="12" s="1"/>
  <c r="E32" i="12" s="1"/>
  <c r="E33" i="12" s="1"/>
  <c r="F30" i="12"/>
  <c r="F31" i="12" s="1"/>
  <c r="F32" i="12" s="1"/>
  <c r="F33" i="12" s="1"/>
  <c r="E34" i="12"/>
  <c r="E35" i="12" s="1"/>
  <c r="E36" i="12" s="1"/>
  <c r="E37" i="12" s="1"/>
  <c r="E38" i="12" s="1"/>
  <c r="E39" i="12" s="1"/>
  <c r="F34" i="12"/>
  <c r="F35" i="12" s="1"/>
  <c r="F36" i="12" s="1"/>
  <c r="F37" i="12" s="1"/>
  <c r="F38" i="12" s="1"/>
  <c r="F39" i="12" s="1"/>
  <c r="K25" i="12"/>
  <c r="B25" i="13" s="1"/>
  <c r="G26" i="12"/>
  <c r="S31" i="11"/>
  <c r="B23" i="12"/>
  <c r="S37" i="11" l="1"/>
  <c r="T34" i="11"/>
  <c r="G27" i="12"/>
  <c r="K27" i="12" s="1"/>
  <c r="B27" i="13" s="1"/>
  <c r="K26" i="12"/>
  <c r="B26" i="13" s="1"/>
  <c r="J32" i="11"/>
  <c r="J26" i="11"/>
  <c r="I26" i="11"/>
  <c r="I23" i="11"/>
  <c r="D23" i="11" s="1"/>
  <c r="I29" i="11"/>
  <c r="D29" i="11" s="1"/>
  <c r="I32" i="11"/>
  <c r="D32" i="11" s="1"/>
  <c r="T31" i="11"/>
  <c r="U34" i="11" l="1"/>
  <c r="T37" i="11"/>
  <c r="D26" i="11"/>
  <c r="U31" i="11"/>
  <c r="U37" i="11" l="1"/>
  <c r="V34" i="11"/>
  <c r="V31" i="11"/>
  <c r="W34" i="11" l="1"/>
  <c r="V37" i="11"/>
  <c r="W31" i="11"/>
  <c r="L21" i="11"/>
  <c r="W37" i="11" l="1"/>
  <c r="H21" i="12"/>
  <c r="L24" i="11"/>
  <c r="B21" i="12" l="1"/>
  <c r="I15" i="12"/>
  <c r="H15" i="12"/>
  <c r="B15" i="12" l="1"/>
  <c r="M21" i="11" l="1"/>
  <c r="C14" i="13"/>
  <c r="M24" i="11" l="1"/>
  <c r="P25" i="11" l="1"/>
  <c r="AC24" i="11" l="1"/>
  <c r="AC25" i="11" s="1"/>
  <c r="I21" i="12" l="1"/>
  <c r="Q25" i="11"/>
  <c r="D28" i="12" l="1"/>
  <c r="R25" i="11"/>
  <c r="D29" i="12" l="1"/>
  <c r="D30" i="12" s="1"/>
  <c r="S25" i="11"/>
  <c r="D31" i="12" l="1"/>
  <c r="D32" i="12" s="1"/>
  <c r="T25" i="11"/>
  <c r="D34" i="12" l="1"/>
  <c r="D33" i="12"/>
  <c r="D35" i="12"/>
  <c r="D36" i="12" s="1"/>
  <c r="U25" i="11"/>
  <c r="D37" i="12" l="1"/>
  <c r="H19" i="12"/>
  <c r="H14" i="12"/>
  <c r="B14" i="12" s="1"/>
  <c r="V25" i="11"/>
  <c r="W25" i="11" l="1"/>
  <c r="D38" i="12" l="1"/>
  <c r="M27" i="11"/>
  <c r="D39" i="12" l="1"/>
  <c r="G28" i="12"/>
  <c r="I19" i="12" l="1"/>
  <c r="B19" i="12" s="1"/>
  <c r="G29" i="12"/>
  <c r="G30" i="12" s="1"/>
  <c r="G31" i="12" l="1"/>
  <c r="G32" i="12" s="1"/>
  <c r="G34" i="12" l="1"/>
  <c r="G35" i="12" s="1"/>
  <c r="G36" i="12" s="1"/>
  <c r="G37" i="12" s="1"/>
  <c r="G38" i="12" s="1"/>
  <c r="G39" i="12" s="1"/>
  <c r="G33" i="12"/>
  <c r="C28" i="12"/>
  <c r="C29" i="12" l="1"/>
  <c r="C30" i="12" s="1"/>
  <c r="K30" i="12" s="1"/>
  <c r="B30" i="13" s="1"/>
  <c r="K28" i="12"/>
  <c r="L27" i="11" s="1"/>
  <c r="B28" i="13" l="1"/>
  <c r="K29" i="12"/>
  <c r="B29" i="13" s="1"/>
  <c r="C31" i="12" l="1"/>
  <c r="K31" i="12" s="1"/>
  <c r="B31" i="13" s="1"/>
  <c r="C32" i="12" l="1"/>
  <c r="C33" i="12" l="1"/>
  <c r="K33" i="12" s="1"/>
  <c r="B33" i="13" s="1"/>
  <c r="K32" i="12"/>
  <c r="B32" i="13" s="1"/>
  <c r="C34" i="12" l="1"/>
  <c r="I13" i="12"/>
  <c r="I28" i="12"/>
  <c r="K34" i="12" l="1"/>
  <c r="C35" i="12"/>
  <c r="C36" i="12" s="1"/>
  <c r="C37" i="12" l="1"/>
  <c r="K36" i="12"/>
  <c r="K35" i="12"/>
  <c r="B35" i="13" s="1"/>
  <c r="B34" i="13"/>
  <c r="L30" i="11"/>
  <c r="M30" i="11"/>
  <c r="C34" i="13"/>
  <c r="B36" i="13" l="1"/>
  <c r="L33" i="11"/>
  <c r="K37" i="12"/>
  <c r="B37" i="13" s="1"/>
  <c r="R27" i="11"/>
  <c r="C38" i="12" l="1"/>
  <c r="S27" i="11"/>
  <c r="K38" i="12" l="1"/>
  <c r="B38" i="13" s="1"/>
  <c r="C39" i="12"/>
  <c r="T27" i="11"/>
  <c r="H36" i="12" l="1"/>
  <c r="H38" i="12"/>
  <c r="I38" i="12"/>
  <c r="B38" i="12" s="1"/>
  <c r="I36" i="12"/>
  <c r="B36" i="12" s="1"/>
  <c r="K39" i="12"/>
  <c r="H13" i="12"/>
  <c r="B13" i="12" s="1"/>
  <c r="H34" i="12"/>
  <c r="H28" i="12"/>
  <c r="B28" i="12" s="1"/>
  <c r="I34" i="12"/>
  <c r="U27" i="11"/>
  <c r="B39" i="13" l="1"/>
  <c r="L36" i="11"/>
  <c r="B34" i="12"/>
  <c r="B12" i="12" s="1"/>
  <c r="V27" i="11"/>
  <c r="W27" i="11"/>
  <c r="AC27" i="11"/>
  <c r="AC28" i="11" s="1"/>
  <c r="P28" i="11" l="1"/>
  <c r="Q28" i="11" l="1"/>
  <c r="R28" i="11" l="1"/>
  <c r="S28" i="11" l="1"/>
  <c r="T28" i="11" l="1"/>
  <c r="U28" i="11" l="1"/>
  <c r="V28" i="11" l="1"/>
  <c r="W28" i="11" l="1"/>
  <c r="X32" i="12"/>
  <c r="X29" i="12"/>
  <c r="X27" i="12"/>
  <c r="X35" i="12"/>
  <c r="X39" i="12"/>
  <c r="X25" i="12"/>
  <c r="X15" i="12"/>
  <c r="X14" i="12"/>
  <c r="X21" i="12"/>
  <c r="X24" i="12"/>
  <c r="X30" i="12"/>
  <c r="X33" i="12"/>
  <c r="X23" i="12"/>
  <c r="X18" i="12"/>
  <c r="X34" i="12"/>
  <c r="X16" i="12"/>
  <c r="X26" i="12"/>
  <c r="X17" i="12"/>
  <c r="X22" i="12"/>
  <c r="X31" i="12"/>
  <c r="X20" i="12"/>
  <c r="X37" i="12"/>
  <c r="D35" i="13" l="1"/>
  <c r="D33" i="13"/>
  <c r="D31" i="13"/>
  <c r="D30" i="13"/>
  <c r="D32" i="13"/>
  <c r="D29" i="13"/>
  <c r="D23" i="13"/>
  <c r="D22" i="13"/>
  <c r="D21" i="13"/>
  <c r="D26" i="13"/>
  <c r="D27" i="13"/>
  <c r="D25" i="13"/>
  <c r="D24" i="13"/>
  <c r="D20" i="13"/>
  <c r="D18" i="13"/>
  <c r="D17" i="13"/>
  <c r="D16" i="13"/>
  <c r="D15" i="13"/>
  <c r="C26" i="13"/>
  <c r="S25" i="12"/>
  <c r="T25" i="12" s="1"/>
  <c r="U25" i="12" s="1"/>
  <c r="S26" i="12"/>
  <c r="T26" i="12" s="1"/>
  <c r="U26" i="12" s="1"/>
  <c r="C25" i="13"/>
  <c r="S33" i="12"/>
  <c r="T33" i="12" s="1"/>
  <c r="U33" i="12" s="1"/>
  <c r="C24" i="13"/>
  <c r="C33" i="13"/>
  <c r="S24" i="12"/>
  <c r="T24" i="12" s="1"/>
  <c r="U24" i="12" s="1"/>
  <c r="C23" i="13"/>
  <c r="S27" i="12"/>
  <c r="T27" i="12" s="1"/>
  <c r="U27" i="12" s="1"/>
  <c r="C27" i="13"/>
  <c r="C16" i="13"/>
  <c r="C15" i="13"/>
  <c r="C20" i="13"/>
  <c r="C22" i="13"/>
  <c r="C18" i="13"/>
  <c r="S34" i="12"/>
  <c r="C32" i="13"/>
  <c r="D34" i="13"/>
  <c r="S32" i="12"/>
  <c r="T32" i="12" s="1"/>
  <c r="U32" i="12" s="1"/>
  <c r="C35" i="13"/>
  <c r="C31" i="13"/>
  <c r="C39" i="13"/>
  <c r="S31" i="12"/>
  <c r="T31" i="12" s="1"/>
  <c r="U31" i="12" s="1"/>
  <c r="D39" i="13"/>
  <c r="C29" i="13"/>
  <c r="C30" i="13"/>
  <c r="C37" i="13"/>
  <c r="C21" i="13"/>
  <c r="S17" i="12"/>
  <c r="T17" i="12" s="1"/>
  <c r="U17" i="12" s="1"/>
  <c r="D37" i="13"/>
  <c r="C17" i="13"/>
  <c r="D14" i="13"/>
  <c r="S30" i="12" l="1"/>
  <c r="T30" i="12" s="1"/>
  <c r="U30" i="12" s="1"/>
  <c r="S29" i="12"/>
  <c r="T29" i="12" s="1"/>
  <c r="S37" i="12"/>
  <c r="T37" i="12" s="1"/>
  <c r="U37" i="12" l="1"/>
  <c r="T36" i="12"/>
  <c r="U29" i="12"/>
  <c r="T28" i="12"/>
  <c r="K29" i="11" l="1"/>
  <c r="N27" i="11" s="1"/>
  <c r="U28" i="12"/>
  <c r="U36" i="12"/>
  <c r="K35" i="11"/>
  <c r="N33" i="11" s="1"/>
  <c r="S35" i="12" l="1"/>
  <c r="T35" i="12" s="1"/>
  <c r="V35" i="11"/>
  <c r="W35" i="11"/>
  <c r="P35" i="11"/>
  <c r="Q35" i="11"/>
  <c r="S35" i="11"/>
  <c r="AC35" i="11"/>
  <c r="T35" i="11"/>
  <c r="U35" i="11"/>
  <c r="R35" i="11"/>
  <c r="T29" i="11"/>
  <c r="V29" i="11"/>
  <c r="W29" i="11"/>
  <c r="S29" i="11"/>
  <c r="AC29" i="11"/>
  <c r="R29" i="11"/>
  <c r="P29" i="11"/>
  <c r="Q29" i="11"/>
  <c r="U29" i="11"/>
  <c r="T34" i="12" l="1"/>
  <c r="U35" i="12"/>
  <c r="K32" i="11" l="1"/>
  <c r="N30" i="11" s="1"/>
  <c r="U34" i="12"/>
  <c r="Q32" i="11" l="1"/>
  <c r="V32" i="11"/>
  <c r="W32" i="11"/>
  <c r="AC32" i="11"/>
  <c r="S32" i="11"/>
  <c r="U32" i="11"/>
  <c r="R32" i="11"/>
  <c r="T32" i="11"/>
  <c r="P32" i="11"/>
  <c r="S15" i="12" l="1"/>
  <c r="T15" i="12" s="1"/>
  <c r="U15" i="12" l="1"/>
  <c r="S16" i="12" l="1"/>
  <c r="T16" i="12" s="1"/>
  <c r="S39" i="12" l="1"/>
  <c r="T39" i="12" s="1"/>
  <c r="S18" i="12"/>
  <c r="T18" i="12" s="1"/>
  <c r="U18" i="12" s="1"/>
  <c r="U16" i="12"/>
  <c r="T14" i="12" l="1"/>
  <c r="K23" i="11" s="1"/>
  <c r="N21" i="11" s="1"/>
  <c r="S20" i="12"/>
  <c r="T20" i="12" s="1"/>
  <c r="S22" i="12"/>
  <c r="T22" i="12" s="1"/>
  <c r="U22" i="12" s="1"/>
  <c r="U39" i="12"/>
  <c r="T38" i="12"/>
  <c r="U14" i="12" l="1"/>
  <c r="K38" i="11"/>
  <c r="N36" i="11" s="1"/>
  <c r="U38" i="12"/>
  <c r="R23" i="11"/>
  <c r="T23" i="11"/>
  <c r="V23" i="11"/>
  <c r="W23" i="11"/>
  <c r="P23" i="11"/>
  <c r="AC23" i="11"/>
  <c r="S23" i="11"/>
  <c r="Q23" i="11"/>
  <c r="U23" i="11"/>
  <c r="U20" i="12"/>
  <c r="AC38" i="11" l="1"/>
  <c r="R38" i="11"/>
  <c r="T38" i="11"/>
  <c r="V38" i="11"/>
  <c r="W38" i="11"/>
  <c r="P38" i="11"/>
  <c r="Q38" i="11"/>
  <c r="U38" i="11"/>
  <c r="S38" i="11"/>
  <c r="S21" i="12" l="1"/>
  <c r="T21" i="12" s="1"/>
  <c r="S23" i="12" l="1"/>
  <c r="T23" i="12" s="1"/>
  <c r="U23" i="12" s="1"/>
  <c r="U21" i="12"/>
  <c r="T12" i="12"/>
  <c r="N14" i="11" s="1"/>
  <c r="T13" i="12"/>
  <c r="T19" i="12" l="1"/>
  <c r="U19" i="12" s="1"/>
  <c r="U13" i="12"/>
  <c r="K20" i="11"/>
  <c r="N18" i="11" s="1"/>
  <c r="U5" i="12" l="1"/>
  <c r="K26" i="11"/>
  <c r="N24" i="11" s="1"/>
  <c r="T26" i="11" s="1"/>
  <c r="T20" i="11" s="1"/>
  <c r="S26" i="11" l="1"/>
  <c r="S20" i="11" s="1"/>
  <c r="S17" i="11" s="1"/>
  <c r="Q26" i="11"/>
  <c r="Q20" i="11" s="1"/>
  <c r="U26" i="11"/>
  <c r="U20" i="11" s="1"/>
  <c r="U19" i="11" s="1"/>
  <c r="V26" i="11"/>
  <c r="V20" i="11" s="1"/>
  <c r="V19" i="11" s="1"/>
  <c r="R26" i="11"/>
  <c r="R20" i="11" s="1"/>
  <c r="R17" i="11" s="1"/>
  <c r="W26" i="11"/>
  <c r="W20" i="11" s="1"/>
  <c r="W19" i="11" s="1"/>
  <c r="AC26" i="11"/>
  <c r="AC20" i="11" s="1"/>
  <c r="AC19" i="11" s="1"/>
  <c r="AC18" i="11" s="1"/>
  <c r="P26" i="11"/>
  <c r="P20" i="11" s="1"/>
  <c r="P19" i="11" s="1"/>
  <c r="Q19" i="11"/>
  <c r="Q17" i="11"/>
  <c r="U17" i="11"/>
  <c r="T19" i="11"/>
  <c r="T17" i="11"/>
  <c r="V17" i="11" l="1"/>
  <c r="S19" i="11"/>
  <c r="V18" i="11"/>
  <c r="W18" i="11"/>
  <c r="P17" i="11"/>
  <c r="P15" i="11" s="1"/>
  <c r="P14" i="11" s="1"/>
  <c r="W17" i="11"/>
  <c r="W15" i="11" s="1"/>
  <c r="W14" i="11" s="1"/>
  <c r="AC17" i="11"/>
  <c r="AC15" i="11" s="1"/>
  <c r="AC14" i="11" s="1"/>
  <c r="R19" i="11"/>
  <c r="S18" i="11" s="1"/>
  <c r="T18" i="11"/>
  <c r="U18" i="11"/>
  <c r="V15" i="11"/>
  <c r="V14" i="11" s="1"/>
  <c r="V16" i="11"/>
  <c r="Q16" i="11"/>
  <c r="U16" i="11"/>
  <c r="U15" i="11"/>
  <c r="U14" i="11" s="1"/>
  <c r="T16" i="11"/>
  <c r="T15" i="11"/>
  <c r="T14" i="11" s="1"/>
  <c r="R15" i="11"/>
  <c r="R14" i="11" s="1"/>
  <c r="R16" i="11"/>
  <c r="S16" i="11"/>
  <c r="S15" i="11"/>
  <c r="S14" i="11" s="1"/>
  <c r="R18" i="11" l="1"/>
  <c r="AC16" i="11"/>
  <c r="W16" i="11"/>
  <c r="Q15" i="11"/>
  <c r="Q14" i="11" s="1"/>
  <c r="P16" i="11"/>
  <c r="L8" i="11" s="1"/>
</calcChain>
</file>

<file path=xl/sharedStrings.xml><?xml version="1.0" encoding="utf-8"?>
<sst xmlns="http://schemas.openxmlformats.org/spreadsheetml/2006/main" count="525" uniqueCount="293">
  <si>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</si>
  <si>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</si>
  <si>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</si>
  <si>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</si>
  <si>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</si>
  <si>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</si>
  <si>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</si>
  <si>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</si>
  <si>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</si>
  <si>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</si>
  <si>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</si>
  <si>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</si>
  <si>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</si>
  <si>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</si>
  <si>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</si>
  <si>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</si>
  <si>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</si>
  <si>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</si>
  <si>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</si>
  <si>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</si>
  <si>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</si>
  <si>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</si>
  <si>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</si>
  <si>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</si>
  <si>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</si>
  <si>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</si>
  <si>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</si>
  <si>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</si>
  <si>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</si>
  <si>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</si>
  <si>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</si>
  <si>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</si>
  <si>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</si>
  <si>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</si>
  <si>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</si>
  <si>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</si>
  <si>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</si>
  <si>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</si>
  <si>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</si>
  <si>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</si>
  <si>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</si>
  <si>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</si>
  <si>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</si>
  <si>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</si>
  <si>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</si>
  <si>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</si>
  <si>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</si>
  <si>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</si>
  <si>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</si>
  <si>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</si>
  <si>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</si>
  <si>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</si>
  <si>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</si>
  <si>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</si>
  <si>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</si>
  <si>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</si>
  <si>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</si>
  <si>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</si>
  <si>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</si>
  <si>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</si>
  <si>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</si>
  <si>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</si>
  <si>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</si>
  <si>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</si>
  <si>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</si>
  <si>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</si>
  <si>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</si>
  <si>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</si>
  <si>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</si>
  <si>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</si>
  <si>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</si>
  <si>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</si>
  <si>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</si>
  <si>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</si>
  <si>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</si>
  <si>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</si>
  <si>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</si>
  <si>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</si>
  <si>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</si>
  <si>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</si>
  <si>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</si>
  <si>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</si>
  <si>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</si>
  <si>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</si>
  <si>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</si>
  <si>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</si>
  <si>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</si>
  <si>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</si>
  <si>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</si>
  <si>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</si>
  <si>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</si>
  <si>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</si>
  <si>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</si>
  <si>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</si>
  <si>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</si>
  <si>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</si>
  <si>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</si>
  <si>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</si>
  <si>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</si>
  <si>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</si>
  <si>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</si>
  <si>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</si>
  <si>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</si>
  <si>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</si>
  <si>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</si>
  <si>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</si>
  <si>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</si>
  <si>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</si>
  <si>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</si>
  <si>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</si>
  <si>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</si>
  <si>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</si>
  <si>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</si>
  <si>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</si>
  <si>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</si>
  <si>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</si>
  <si>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</si>
  <si>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</si>
  <si>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</si>
  <si>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</si>
  <si>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</si>
  <si>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</si>
  <si>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</si>
  <si>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</si>
  <si>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</si>
  <si>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</si>
  <si>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</si>
  <si>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</si>
  <si>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</si>
  <si>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</si>
  <si>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</si>
  <si>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</si>
  <si>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</si>
  <si>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</si>
  <si>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</si>
  <si>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</si>
  <si>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</si>
  <si>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</si>
  <si>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</si>
  <si>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</si>
  <si>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</si>
  <si>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</si>
  <si>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</si>
  <si>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</si>
  <si>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</si>
  <si>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</si>
  <si>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</si>
  <si>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</si>
  <si>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</si>
  <si>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</si>
  <si>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</si>
  <si>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</si>
  <si>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</si>
  <si>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</si>
  <si>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</si>
  <si>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</si>
  <si>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</si>
  <si>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</si>
  <si>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</si>
  <si>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</si>
  <si>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</si>
  <si>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</si>
  <si>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</si>
  <si>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</si>
  <si>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</si>
  <si>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</si>
  <si>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</si>
  <si>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</si>
  <si>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</si>
  <si>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</si>
  <si>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</si>
  <si>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</si>
  <si>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</si>
  <si>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</si>
  <si>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</si>
  <si>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</si>
  <si>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</si>
  <si>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</si>
  <si>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</si>
  <si>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</si>
  <si>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</si>
  <si>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</si>
  <si>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</si>
  <si>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</si>
  <si>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</si>
  <si>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</si>
  <si>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</si>
  <si>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</si>
  <si>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</si>
  <si>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</si>
  <si>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</si>
  <si>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</si>
  <si>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</si>
  <si>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</si>
  <si>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</si>
  <si>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</si>
  <si>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</si>
  <si>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</si>
  <si>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</si>
  <si>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</si>
  <si>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</si>
  <si>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</si>
  <si>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</si>
  <si>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</si>
  <si>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</si>
  <si>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</si>
  <si>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</si>
  <si>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</si>
  <si>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</si>
  <si>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</si>
  <si>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</si>
  <si>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</si>
  <si>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</si>
  <si>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</si>
  <si>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</si>
  <si>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</si>
  <si>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</si>
  <si>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</si>
  <si>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</si>
  <si>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</si>
  <si>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</si>
  <si>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</si>
  <si>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</si>
  <si>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</si>
  <si>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</si>
  <si>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</si>
  <si>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</si>
  <si>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</si>
  <si>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</si>
  <si>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PLANEJAMENTO URBANO</t>
  </si>
  <si>
    <t>MUNICIPIO</t>
  </si>
  <si>
    <t>SINAPI</t>
  </si>
  <si>
    <t>78472</t>
  </si>
  <si>
    <t>TUCUNDUVA RS</t>
  </si>
  <si>
    <t>RUA SANTA ROSA 520</t>
  </si>
  <si>
    <t>Não</t>
  </si>
  <si>
    <t>PREFEITURA TUCUNDUVA</t>
  </si>
  <si>
    <t>SERVIÇOS INICIAIS</t>
  </si>
  <si>
    <t>COMPOSIÇÃO</t>
  </si>
  <si>
    <t>01</t>
  </si>
  <si>
    <t>02</t>
  </si>
  <si>
    <t>03</t>
  </si>
  <si>
    <t>04</t>
  </si>
  <si>
    <t>SERVIÇOS</t>
  </si>
  <si>
    <t>99814</t>
  </si>
  <si>
    <t>05</t>
  </si>
  <si>
    <t>NÃO</t>
  </si>
  <si>
    <t>07</t>
  </si>
  <si>
    <t>SINALIZAÇÃO</t>
  </si>
  <si>
    <t>102512</t>
  </si>
  <si>
    <t>06</t>
  </si>
  <si>
    <t>102498</t>
  </si>
  <si>
    <t>95875</t>
  </si>
  <si>
    <t>PAVIMENTAÇÃO ASFÁLTICA SOBRE CALÇAMENTO NO DISTRITO INDUSTRIAL</t>
  </si>
  <si>
    <t>PAVIMENTAÇÃO ASFÁLTICA NO DISTRITO INDUSTRIAL</t>
  </si>
  <si>
    <t>DRENAGEM</t>
  </si>
  <si>
    <t>PAVIMENTAÇÃO</t>
  </si>
  <si>
    <t>PAVIMENTAÇÃO DA RUA DAS INDUSTRIAS</t>
  </si>
  <si>
    <t>93590</t>
  </si>
  <si>
    <t>102330</t>
  </si>
  <si>
    <t>102331</t>
  </si>
  <si>
    <t>102501</t>
  </si>
  <si>
    <t>08</t>
  </si>
  <si>
    <t>ADMINISTRAÇÃO LOCAL</t>
  </si>
  <si>
    <t>SERVIÇOS FINAIS</t>
  </si>
  <si>
    <t>09</t>
  </si>
  <si>
    <t>10</t>
  </si>
  <si>
    <t>O REGIME DE DESONERAÇÃO VIÁVEL É O NÃO DESONERADO</t>
  </si>
  <si>
    <t>PAVIMENTAÇÃO ASFÁLTICA NA RUA DAS INDÚSTRIAS</t>
  </si>
  <si>
    <t>SERVIÇOS TOPOGRAFICOS PARA PAVIMENTAÇÃO, INCLUSIVE NOTA DE SERVIÇOS, ACOMPANHAMENTO E GREIDE</t>
  </si>
  <si>
    <t>FORNECIMENTO E INSTALAÇÃO DE PLACA DE OBRA COM CHAPA GALVANIZADA E ESTRUTURA DE MADEIRA. AF_03/2022_PS</t>
  </si>
  <si>
    <t>LIMPEZA DE SUPERFÍCIE COM JATO DE ALTA PRESSÃO. AF_04/2019</t>
  </si>
  <si>
    <t>MOBILIZAÇÃO/DESMOBILIZAÇÃO DE EQUIPAMENTOS</t>
  </si>
  <si>
    <t>EXECUÇÃO DE PINTURA DE LIGAÇÃO COM EMULSÃO ASFÁLTICA RR-2C. AF_11/2019 - REFERÊNCIA 96402</t>
  </si>
  <si>
    <t>CONSTRUÇÃO DE PAVIMENTO C/APLICAÇÃO DE CBUQ, CAMADA DE BINDER, EXCLUSIVE TRANSPORTE, CAMADA E=3CM</t>
  </si>
  <si>
    <t>CONSTRUÇÃO DE PAVIMENTO C/APLICAÇÃO DE CBUQ, CAMADA DE ROLAMENTO, EXCLUSIVE TRANSPORTE, CAMADA E=3CM</t>
  </si>
  <si>
    <t>TRANSPORTE COM CAMINHÃO BASCULANTE DE 10 M³, EM VIA URBANA PAVIMENTADA, DMT ATÉ 30 KM (UNIDADE: M3XKM). AF_07/2020</t>
  </si>
  <si>
    <t>TRANSPORTE COM CAMINHÃO BASCULANTE DE 10 M³, EM VIA URBANA PAVIMENTADA, ADICIONAL PARA DMT EXCEDENTE A 30 KM (UNIDADE: M3XKM).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</si>
  <si>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</si>
  <si>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</si>
  <si>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PLACA DE SINALIZACAO EM CHAPA DE ACO NUM 16 COM PINTURA REFLETIVA R-1 "PARE"</t>
  </si>
  <si>
    <t>PLACA DE SINALIZACAO EM CHAPA DE ACO NUM 16 COM PINTURA REFLETIVA A - 32b "PEDESTRE"</t>
  </si>
  <si>
    <t>PINTURA DE MEIO-FIO COM TINTA BRANCA A BASE DE CAL (CAIAÇÃO).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</si>
  <si>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</si>
  <si>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</si>
  <si>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SARJETA DE CONCRETO USINADO, 30CM BASE X 6CM ALTURA</t>
  </si>
  <si>
    <t>M2</t>
  </si>
  <si>
    <t>UN</t>
  </si>
  <si>
    <t>M²</t>
  </si>
  <si>
    <t>M³</t>
  </si>
  <si>
    <t>M3XKM</t>
  </si>
  <si>
    <t>TXKM</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</si>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</sst>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R$&quot;* #,##0.00_);_(&quot;R$&quot;* \(#,##0.00\);_(&quot;R$&quot;* &quot;-&quot;??_);_(@_)"/>
    <numFmt numFmtId="165" formatCode="_(* #,##0.00_);_(* \(#,##0.00\);_(*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91">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11" fillId="3" borderId="0" applyNumberFormat="0" applyBorder="0" applyAlignment="0" applyProtection="0"/>
    <xf numFmtId="0" fontId="6" fillId="4" borderId="0" applyNumberFormat="0" applyBorder="0" applyAlignment="0" applyProtection="0"/>
    <xf numFmtId="0" fontId="7" fillId="20" borderId="1" applyNumberFormat="0" applyAlignment="0" applyProtection="0"/>
    <xf numFmtId="0" fontId="7" fillId="20" borderId="1" applyNumberFormat="0" applyAlignment="0" applyProtection="0"/>
    <xf numFmtId="0" fontId="8" fillId="21" borderId="2" applyNumberFormat="0" applyAlignment="0" applyProtection="0"/>
    <xf numFmtId="0" fontId="9" fillId="0" borderId="3" applyNumberFormat="0" applyFill="0" applyAlignment="0" applyProtection="0"/>
    <xf numFmtId="0" fontId="8" fillId="21" borderId="2" applyNumberFormat="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10" fillId="7" borderId="1" applyNumberFormat="0" applyAlignment="0" applyProtection="0"/>
    <xf numFmtId="0" fontId="4" fillId="0" borderId="0"/>
    <xf numFmtId="0" fontId="15" fillId="0" borderId="0" applyNumberFormat="0" applyFill="0" applyBorder="0" applyAlignment="0" applyProtection="0"/>
    <xf numFmtId="0" fontId="6" fillId="4" borderId="0" applyNumberFormat="0" applyBorder="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11" fillId="3" borderId="0" applyNumberFormat="0" applyBorder="0" applyAlignment="0" applyProtection="0"/>
    <xf numFmtId="0" fontId="10" fillId="7" borderId="1" applyNumberFormat="0" applyAlignment="0" applyProtection="0"/>
    <xf numFmtId="0" fontId="9" fillId="0" borderId="3" applyNumberFormat="0" applyFill="0" applyAlignment="0" applyProtection="0"/>
    <xf numFmtId="164" fontId="2" fillId="0" borderId="0" applyFont="0" applyFill="0" applyBorder="0" applyAlignment="0" applyProtection="0"/>
    <xf numFmtId="169" fontId="2" fillId="0" borderId="0" applyFont="0" applyFill="0" applyBorder="0" applyAlignment="0" applyProtection="0"/>
    <xf numFmtId="0" fontId="12" fillId="22" borderId="0" applyNumberFormat="0" applyBorder="0" applyAlignment="0" applyProtection="0"/>
    <xf numFmtId="0" fontId="12" fillId="22" borderId="0" applyNumberFormat="0" applyBorder="0" applyAlignment="0" applyProtection="0"/>
    <xf numFmtId="0" fontId="2" fillId="0" borderId="0"/>
    <xf numFmtId="0" fontId="3" fillId="0" borderId="0"/>
    <xf numFmtId="0" fontId="2" fillId="23" borderId="7" applyNumberFormat="0" applyFont="0" applyAlignment="0" applyProtection="0"/>
    <xf numFmtId="0" fontId="2" fillId="23" borderId="7" applyNumberFormat="0" applyFont="0" applyAlignment="0" applyProtection="0"/>
    <xf numFmtId="0" fontId="13" fillId="20" borderId="8" applyNumberFormat="0" applyAlignment="0" applyProtection="0"/>
    <xf numFmtId="9" fontId="2" fillId="0" borderId="0" applyFont="0" applyFill="0" applyBorder="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20" fillId="0" borderId="9" applyNumberFormat="0" applyFill="0" applyAlignment="0" applyProtection="0"/>
    <xf numFmtId="165" fontId="2" fillId="0" borderId="0" applyFont="0" applyFill="0" applyBorder="0" applyAlignment="0" applyProtection="0"/>
    <xf numFmtId="0" fontId="14" fillId="0" borderId="0" applyNumberFormat="0" applyFill="0" applyBorder="0" applyAlignment="0" applyProtection="0"/>
    <xf numFmtId="0" fontId="1" fillId="0" borderId="0"/>
    <xf numFmtId="164" fontId="4" fillId="0" borderId="0" applyFont="0" applyFill="0" applyBorder="0" applyAlignment="0" applyProtection="0"/>
  </cellStyleXfs>
  <cellXfs count="359">
    <xf numFmtId="0" fontId="0" fillId="0" borderId="0" xfId="0"/>
    <xf numFmtId="0" fontId="2" fillId="0" borderId="0" xfId="0" applyFont="1"/>
    <xf numFmtId="0" fontId="21" fillId="0" borderId="0" xfId="0" applyFont="1"/>
    <xf numFmtId="0" fontId="23" fillId="0" borderId="0" xfId="0" applyFont="1" applyAlignment="1">
      <alignment horizontal="center"/>
    </xf>
    <xf numFmtId="0" fontId="2" fillId="0" borderId="0" xfId="0" applyFont="1" applyAlignment="1">
      <alignment horizontal="center"/>
    </xf>
    <xf numFmtId="0" fontId="0" fillId="0" borderId="0" xfId="0" applyAlignment="1">
      <alignment horizontal="left"/>
    </xf>
    <xf numFmtId="49" fontId="23" fillId="24" borderId="10" xfId="0" applyNumberFormat="1" applyFont="1" applyFill="1" applyBorder="1" applyAlignment="1">
      <alignment horizontal="center" vertical="center"/>
    </xf>
    <xf numFmtId="165" fontId="23" fillId="24" borderId="10" xfId="87" applyFont="1" applyFill="1" applyBorder="1" applyAlignment="1" applyProtection="1">
      <alignment horizontal="center" vertical="center"/>
    </xf>
    <xf numFmtId="10" fontId="23" fillId="24" borderId="10" xfId="76" applyNumberFormat="1" applyFont="1" applyFill="1" applyBorder="1" applyAlignment="1" applyProtection="1">
      <alignment horizontal="center" vertical="center"/>
    </xf>
    <xf numFmtId="0" fontId="24" fillId="0" borderId="0" xfId="0" applyFont="1"/>
    <xf numFmtId="0" fontId="2" fillId="0" borderId="0" xfId="0" applyFont="1" applyAlignment="1">
      <alignment horizontal="left"/>
    </xf>
    <xf numFmtId="0" fontId="2" fillId="0" borderId="0" xfId="0" applyFont="1" applyAlignment="1">
      <alignment horizontal="center" vertical="center"/>
    </xf>
    <xf numFmtId="165" fontId="2" fillId="0" borderId="0" xfId="87" applyFont="1"/>
    <xf numFmtId="0" fontId="28" fillId="0" borderId="0" xfId="0" applyFont="1" applyAlignment="1">
      <alignment vertical="center"/>
    </xf>
    <xf numFmtId="0" fontId="2" fillId="0" borderId="0" xfId="0" applyFont="1" applyAlignment="1">
      <alignment horizontal="right"/>
    </xf>
    <xf numFmtId="0" fontId="23" fillId="0" borderId="0" xfId="0" applyFont="1" applyAlignment="1">
      <alignment horizontal="right"/>
    </xf>
    <xf numFmtId="0" fontId="2" fillId="0" borderId="0" xfId="0" applyFont="1" applyAlignment="1">
      <alignment wrapText="1"/>
    </xf>
    <xf numFmtId="0" fontId="0" fillId="0" borderId="0" xfId="0" applyAlignment="1">
      <alignment horizontal="left" wrapText="1"/>
    </xf>
    <xf numFmtId="0" fontId="2" fillId="0" borderId="0" xfId="0" applyFont="1" applyAlignment="1">
      <alignment horizontal="left" wrapText="1" indent="2"/>
    </xf>
    <xf numFmtId="0" fontId="0" fillId="0" borderId="0" xfId="0" applyAlignment="1">
      <alignment horizontal="center"/>
    </xf>
    <xf numFmtId="0" fontId="23" fillId="0" borderId="11" xfId="72" applyFont="1" applyBorder="1" applyAlignment="1">
      <alignment horizontal="left" vertical="top"/>
    </xf>
    <xf numFmtId="0" fontId="23" fillId="0" borderId="0" xfId="72" applyFont="1" applyAlignment="1">
      <alignment horizontal="left" vertical="top"/>
    </xf>
    <xf numFmtId="0" fontId="23" fillId="0" borderId="12" xfId="72" applyFont="1" applyBorder="1" applyAlignment="1">
      <alignment horizontal="left" vertical="top"/>
    </xf>
    <xf numFmtId="10" fontId="2" fillId="0" borderId="0" xfId="76" applyNumberFormat="1" applyFont="1" applyBorder="1" applyAlignment="1" applyProtection="1">
      <alignment horizontal="left"/>
    </xf>
    <xf numFmtId="0" fontId="0" fillId="0" borderId="0" xfId="0" applyAlignment="1">
      <alignment horizontal="left" indent="2"/>
    </xf>
    <xf numFmtId="14" fontId="29" fillId="0" borderId="0" xfId="0" applyNumberFormat="1" applyFont="1" applyAlignment="1">
      <alignment vertical="top" wrapText="1"/>
    </xf>
    <xf numFmtId="0" fontId="30" fillId="0" borderId="0" xfId="0" applyFont="1" applyAlignment="1">
      <alignment horizontal="center"/>
    </xf>
    <xf numFmtId="0" fontId="30" fillId="0" borderId="0" xfId="0" applyFont="1"/>
    <xf numFmtId="0" fontId="22"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2" fillId="0" borderId="0" xfId="0" applyFont="1" applyProtection="1">
      <protection hidden="1"/>
    </xf>
    <xf numFmtId="0" fontId="23" fillId="0" borderId="0" xfId="0" applyFont="1" applyAlignment="1" applyProtection="1">
      <alignment wrapText="1"/>
      <protection hidden="1"/>
    </xf>
    <xf numFmtId="0" fontId="23" fillId="0" borderId="0" xfId="0" applyFont="1" applyAlignment="1" applyProtection="1">
      <alignment horizontal="center" vertical="center"/>
      <protection hidden="1"/>
    </xf>
    <xf numFmtId="0" fontId="3" fillId="0" borderId="0" xfId="0" applyFont="1" applyProtection="1">
      <protection hidden="1"/>
    </xf>
    <xf numFmtId="0" fontId="2" fillId="0" borderId="0" xfId="0" applyFont="1" applyAlignment="1" applyProtection="1">
      <alignment horizontal="center"/>
      <protection hidden="1"/>
    </xf>
    <xf numFmtId="0" fontId="2" fillId="0" borderId="0" xfId="0" applyFont="1" applyAlignment="1">
      <alignment horizontal="left" wrapText="1"/>
    </xf>
    <xf numFmtId="0" fontId="2" fillId="0" borderId="0" xfId="0" applyFont="1" applyAlignment="1">
      <alignment horizontal="left" wrapText="1" indent="1"/>
    </xf>
    <xf numFmtId="0" fontId="23" fillId="0" borderId="0" xfId="0" applyFont="1" applyAlignment="1">
      <alignment horizontal="left" wrapText="1" indent="1"/>
    </xf>
    <xf numFmtId="0" fontId="23" fillId="0" borderId="0" xfId="0" applyFont="1" applyAlignment="1">
      <alignment horizontal="left" indent="1"/>
    </xf>
    <xf numFmtId="0" fontId="2" fillId="0" borderId="0" xfId="71"/>
    <xf numFmtId="0" fontId="23" fillId="0" borderId="0" xfId="71" applyFont="1" applyAlignment="1">
      <alignment horizontal="center"/>
    </xf>
    <xf numFmtId="0" fontId="23" fillId="0" borderId="14" xfId="71" applyFont="1" applyBorder="1" applyAlignment="1">
      <alignment horizontal="center"/>
    </xf>
    <xf numFmtId="10" fontId="32" fillId="0" borderId="14" xfId="71" applyNumberFormat="1" applyFont="1" applyBorder="1" applyAlignment="1">
      <alignment horizontal="center"/>
    </xf>
    <xf numFmtId="0" fontId="22" fillId="0" borderId="0" xfId="71" applyFont="1" applyAlignment="1">
      <alignment horizontal="center"/>
    </xf>
    <xf numFmtId="0" fontId="33" fillId="0" borderId="0" xfId="71" applyFont="1"/>
    <xf numFmtId="0" fontId="23" fillId="0" borderId="0" xfId="71" applyFont="1"/>
    <xf numFmtId="0" fontId="23" fillId="0" borderId="14" xfId="71" applyFont="1" applyBorder="1" applyAlignment="1">
      <alignment horizontal="center" vertical="center" wrapText="1"/>
    </xf>
    <xf numFmtId="0" fontId="31" fillId="0" borderId="14" xfId="71" applyFont="1" applyBorder="1" applyAlignment="1">
      <alignment horizontal="center" vertical="center"/>
    </xf>
    <xf numFmtId="10" fontId="31" fillId="25" borderId="14" xfId="71" applyNumberFormat="1" applyFont="1" applyFill="1" applyBorder="1" applyAlignment="1" applyProtection="1">
      <alignment horizontal="center" vertical="center"/>
      <protection locked="0"/>
    </xf>
    <xf numFmtId="4" fontId="27" fillId="0" borderId="14" xfId="71" applyNumberFormat="1" applyFont="1" applyBorder="1" applyAlignment="1">
      <alignment horizontal="center" vertical="center"/>
    </xf>
    <xf numFmtId="10" fontId="31" fillId="0" borderId="14" xfId="71" applyNumberFormat="1" applyFont="1" applyBorder="1" applyAlignment="1">
      <alignment horizontal="center" vertical="center"/>
    </xf>
    <xf numFmtId="10" fontId="31" fillId="0" borderId="14" xfId="71" applyNumberFormat="1" applyFont="1" applyBorder="1" applyAlignment="1">
      <alignment horizontal="center" vertical="center" wrapText="1"/>
    </xf>
    <xf numFmtId="0" fontId="31" fillId="0" borderId="14" xfId="71" applyFont="1" applyBorder="1" applyAlignment="1">
      <alignment horizontal="center" vertical="center" wrapText="1"/>
    </xf>
    <xf numFmtId="0" fontId="40" fillId="0" borderId="0" xfId="71" applyFont="1" applyAlignment="1">
      <alignment horizontal="center" vertical="center" wrapText="1"/>
    </xf>
    <xf numFmtId="10" fontId="40" fillId="0" borderId="0" xfId="71" applyNumberFormat="1" applyFont="1" applyAlignment="1">
      <alignment horizontal="center" vertical="center"/>
    </xf>
    <xf numFmtId="170" fontId="2" fillId="0" borderId="0" xfId="71" applyNumberFormat="1"/>
    <xf numFmtId="0" fontId="31" fillId="0" borderId="0" xfId="71" applyFont="1"/>
    <xf numFmtId="0" fontId="31" fillId="0" borderId="0" xfId="71" applyFont="1" applyAlignment="1">
      <alignment vertical="top"/>
    </xf>
    <xf numFmtId="0" fontId="35" fillId="0" borderId="0" xfId="71" applyFont="1" applyAlignment="1">
      <alignment horizontal="center" vertical="top"/>
    </xf>
    <xf numFmtId="0" fontId="23" fillId="0" borderId="14" xfId="0" applyFont="1" applyBorder="1" applyAlignment="1">
      <alignment horizontal="center" vertical="center" wrapText="1"/>
    </xf>
    <xf numFmtId="0" fontId="23" fillId="0" borderId="14" xfId="0" applyFont="1" applyBorder="1" applyAlignment="1">
      <alignment horizontal="center" vertical="center"/>
    </xf>
    <xf numFmtId="0" fontId="23" fillId="24" borderId="14" xfId="0" applyFont="1" applyFill="1" applyBorder="1" applyAlignment="1">
      <alignment horizontal="center" vertical="center"/>
    </xf>
    <xf numFmtId="0" fontId="2" fillId="0" borderId="15" xfId="0" applyFont="1" applyBorder="1" applyAlignment="1">
      <alignment horizontal="center"/>
    </xf>
    <xf numFmtId="0" fontId="23" fillId="0" borderId="16" xfId="0" applyFont="1" applyBorder="1" applyAlignment="1">
      <alignment horizontal="center"/>
    </xf>
    <xf numFmtId="0" fontId="37" fillId="0" borderId="0" xfId="0" applyFont="1" applyAlignment="1">
      <alignment vertical="center"/>
    </xf>
    <xf numFmtId="0" fontId="2" fillId="0" borderId="0" xfId="0" applyFont="1" applyAlignment="1">
      <alignment horizontal="center" vertical="top"/>
    </xf>
    <xf numFmtId="0" fontId="2" fillId="0" borderId="17" xfId="0" applyFont="1" applyBorder="1"/>
    <xf numFmtId="0" fontId="31" fillId="0" borderId="0" xfId="0" applyFont="1"/>
    <xf numFmtId="0" fontId="22" fillId="0" borderId="0" xfId="0" applyFont="1" applyAlignment="1">
      <alignment horizontal="right"/>
    </xf>
    <xf numFmtId="0" fontId="23" fillId="25" borderId="0" xfId="0" applyFont="1" applyFill="1" applyProtection="1">
      <protection locked="0"/>
    </xf>
    <xf numFmtId="0" fontId="23" fillId="24" borderId="10" xfId="0" applyFont="1" applyFill="1" applyBorder="1" applyAlignment="1">
      <alignment horizontal="center" vertical="center" wrapText="1"/>
    </xf>
    <xf numFmtId="0" fontId="2" fillId="25" borderId="18" xfId="0" applyFont="1" applyFill="1" applyBorder="1" applyAlignment="1" applyProtection="1">
      <alignment horizontal="left" vertical="top" wrapText="1"/>
      <protection locked="0"/>
    </xf>
    <xf numFmtId="0" fontId="2" fillId="0" borderId="12" xfId="0" applyFont="1" applyBorder="1"/>
    <xf numFmtId="0" fontId="31" fillId="0" borderId="11" xfId="0" applyFont="1" applyBorder="1" applyAlignment="1">
      <alignment horizontal="left" vertical="center"/>
    </xf>
    <xf numFmtId="0" fontId="2" fillId="25" borderId="18" xfId="0" applyFont="1" applyFill="1" applyBorder="1" applyAlignment="1" applyProtection="1">
      <alignment vertical="top" wrapText="1"/>
      <protection locked="0"/>
    </xf>
    <xf numFmtId="0" fontId="23" fillId="0" borderId="11" xfId="72" applyFont="1" applyBorder="1" applyAlignment="1">
      <alignment vertical="top"/>
    </xf>
    <xf numFmtId="0" fontId="23" fillId="0" borderId="15" xfId="72" applyFont="1" applyBorder="1" applyAlignment="1">
      <alignment horizontal="center" vertical="top"/>
    </xf>
    <xf numFmtId="10" fontId="38"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5" fontId="23" fillId="24" borderId="19" xfId="87" applyFont="1" applyFill="1" applyBorder="1" applyAlignment="1" applyProtection="1">
      <alignment horizontal="center" vertical="center" shrinkToFit="1"/>
    </xf>
    <xf numFmtId="165" fontId="2" fillId="0" borderId="20" xfId="87" applyFont="1" applyFill="1" applyBorder="1" applyAlignment="1">
      <alignment horizontal="center" vertical="center" shrinkToFit="1"/>
    </xf>
    <xf numFmtId="0" fontId="22" fillId="0" borderId="0" xfId="0" applyFont="1" applyAlignment="1">
      <alignment horizontal="left" vertical="center"/>
    </xf>
    <xf numFmtId="0" fontId="2" fillId="0" borderId="0" xfId="71" applyAlignment="1">
      <alignment horizontal="center" vertical="top"/>
    </xf>
    <xf numFmtId="0" fontId="39" fillId="0" borderId="0" xfId="72" applyFont="1" applyAlignment="1">
      <alignment horizontal="left" vertical="top"/>
    </xf>
    <xf numFmtId="0" fontId="36" fillId="0" borderId="0" xfId="0" applyFont="1" applyAlignment="1">
      <alignment horizontal="left" vertical="center"/>
    </xf>
    <xf numFmtId="3" fontId="0" fillId="26" borderId="21" xfId="0" applyNumberFormat="1" applyFill="1" applyBorder="1" applyAlignment="1">
      <alignment horizontal="left"/>
    </xf>
    <xf numFmtId="10" fontId="38" fillId="25" borderId="18" xfId="76" applyNumberFormat="1" applyFont="1" applyFill="1" applyBorder="1" applyAlignment="1" applyProtection="1">
      <alignment horizontal="left" vertical="top" wrapText="1"/>
      <protection locked="0"/>
    </xf>
    <xf numFmtId="0" fontId="2" fillId="26" borderId="18" xfId="0" applyFont="1" applyFill="1" applyBorder="1" applyAlignment="1">
      <alignment horizontal="left"/>
    </xf>
    <xf numFmtId="4" fontId="27" fillId="0" borderId="14" xfId="71" applyNumberFormat="1" applyFont="1" applyBorder="1" applyAlignment="1">
      <alignment horizontal="center" vertical="center" wrapText="1"/>
    </xf>
    <xf numFmtId="0" fontId="47" fillId="0" borderId="0" xfId="71" applyFont="1" applyAlignment="1">
      <alignment wrapText="1"/>
    </xf>
    <xf numFmtId="0" fontId="48" fillId="0" borderId="0" xfId="71" applyFont="1" applyAlignment="1">
      <alignment vertical="top" wrapText="1"/>
    </xf>
    <xf numFmtId="0" fontId="45" fillId="0" borderId="14" xfId="71" applyFont="1" applyBorder="1" applyAlignment="1">
      <alignment horizontal="center" vertical="center"/>
    </xf>
    <xf numFmtId="4" fontId="27" fillId="0" borderId="0" xfId="71" applyNumberFormat="1" applyFont="1" applyAlignment="1">
      <alignment horizontal="center" vertical="center" wrapText="1"/>
    </xf>
    <xf numFmtId="0" fontId="2" fillId="0" borderId="0" xfId="71" applyProtection="1">
      <protection locked="0"/>
    </xf>
    <xf numFmtId="0" fontId="23" fillId="0" borderId="0" xfId="0" applyFont="1"/>
    <xf numFmtId="0" fontId="23" fillId="0" borderId="0" xfId="0" applyFont="1" applyAlignment="1">
      <alignment horizontal="left"/>
    </xf>
    <xf numFmtId="0" fontId="23" fillId="0" borderId="22" xfId="0" applyFont="1" applyBorder="1" applyAlignment="1">
      <alignment horizontal="center" vertical="center" wrapText="1"/>
    </xf>
    <xf numFmtId="0" fontId="23" fillId="0" borderId="0" xfId="0" applyFont="1" applyAlignment="1">
      <alignment horizontal="center" vertical="center" wrapText="1"/>
    </xf>
    <xf numFmtId="0" fontId="24" fillId="0" borderId="16" xfId="0" applyFont="1" applyBorder="1" applyAlignment="1">
      <alignment horizontal="center"/>
    </xf>
    <xf numFmtId="0" fontId="3" fillId="25" borderId="23" xfId="0" applyFont="1" applyFill="1" applyBorder="1" applyAlignment="1" applyProtection="1">
      <alignment vertical="center" wrapText="1"/>
      <protection locked="0"/>
    </xf>
    <xf numFmtId="165" fontId="2" fillId="0" borderId="24" xfId="87" applyFont="1" applyFill="1" applyBorder="1" applyAlignment="1">
      <alignment vertical="center" shrinkToFit="1"/>
    </xf>
    <xf numFmtId="0" fontId="2" fillId="25" borderId="25" xfId="0" applyFont="1" applyFill="1" applyBorder="1" applyAlignment="1" applyProtection="1">
      <alignment horizontal="center" textRotation="90" wrapText="1"/>
      <protection locked="0"/>
    </xf>
    <xf numFmtId="0" fontId="23" fillId="0" borderId="15" xfId="0" applyFont="1" applyBorder="1" applyAlignment="1">
      <alignment horizontal="center" vertical="center" wrapText="1"/>
    </xf>
    <xf numFmtId="0" fontId="23" fillId="0" borderId="15" xfId="0" applyFont="1" applyBorder="1" applyAlignment="1">
      <alignment horizontal="center" vertical="center"/>
    </xf>
    <xf numFmtId="0" fontId="28" fillId="0" borderId="26" xfId="0" applyFont="1" applyBorder="1" applyAlignment="1">
      <alignment horizontal="center" vertical="center"/>
    </xf>
    <xf numFmtId="0" fontId="3" fillId="0" borderId="27" xfId="0" applyFont="1" applyBorder="1" applyAlignment="1">
      <alignment vertical="center"/>
    </xf>
    <xf numFmtId="0" fontId="2" fillId="0" borderId="28" xfId="0" applyFont="1" applyBorder="1" applyAlignment="1">
      <alignment vertical="center" wrapText="1"/>
    </xf>
    <xf numFmtId="0" fontId="3" fillId="0" borderId="28" xfId="0" applyFont="1" applyBorder="1" applyAlignment="1">
      <alignment vertical="center"/>
    </xf>
    <xf numFmtId="0" fontId="2" fillId="0" borderId="28" xfId="0" applyFont="1" applyBorder="1" applyAlignment="1">
      <alignment horizontal="center" vertical="center" wrapText="1"/>
    </xf>
    <xf numFmtId="0" fontId="2" fillId="0" borderId="28" xfId="0" applyFont="1" applyBorder="1" applyAlignment="1">
      <alignment vertical="center" shrinkToFit="1"/>
    </xf>
    <xf numFmtId="10" fontId="2" fillId="0" borderId="24" xfId="87" applyNumberFormat="1" applyFont="1" applyFill="1" applyBorder="1" applyAlignment="1">
      <alignment vertical="center" shrinkToFit="1"/>
    </xf>
    <xf numFmtId="10" fontId="23" fillId="24" borderId="10" xfId="87" applyNumberFormat="1" applyFont="1" applyFill="1" applyBorder="1" applyAlignment="1" applyProtection="1">
      <alignment horizontal="center" vertical="center"/>
    </xf>
    <xf numFmtId="0" fontId="2" fillId="0" borderId="18" xfId="0" applyFont="1" applyBorder="1" applyAlignment="1">
      <alignment vertical="top" wrapText="1"/>
    </xf>
    <xf numFmtId="0" fontId="2" fillId="0" borderId="18" xfId="0" applyFont="1" applyBorder="1" applyAlignment="1">
      <alignment horizontal="left" vertical="top" wrapText="1"/>
    </xf>
    <xf numFmtId="10" fontId="38" fillId="0" borderId="16" xfId="76" applyNumberFormat="1" applyFont="1" applyFill="1" applyBorder="1" applyAlignment="1" applyProtection="1">
      <alignment horizontal="center" vertical="top" wrapText="1"/>
    </xf>
    <xf numFmtId="10" fontId="38" fillId="0" borderId="18" xfId="76" applyNumberFormat="1" applyFont="1" applyFill="1" applyBorder="1" applyAlignment="1" applyProtection="1">
      <alignment horizontal="left" vertical="top" wrapText="1"/>
    </xf>
    <xf numFmtId="0" fontId="23" fillId="0" borderId="17" xfId="0" applyFont="1" applyBorder="1"/>
    <xf numFmtId="0" fontId="23" fillId="0" borderId="17" xfId="0" applyFont="1" applyBorder="1" applyAlignment="1">
      <alignment horizontal="left"/>
    </xf>
    <xf numFmtId="0" fontId="2" fillId="0" borderId="17" xfId="0" applyFont="1" applyBorder="1" applyAlignment="1">
      <alignment horizontal="left"/>
    </xf>
    <xf numFmtId="0" fontId="23" fillId="0" borderId="17" xfId="71" applyFont="1" applyBorder="1" applyAlignment="1">
      <alignment horizontal="left"/>
    </xf>
    <xf numFmtId="0" fontId="2" fillId="0" borderId="17" xfId="71" applyBorder="1"/>
    <xf numFmtId="0" fontId="28" fillId="0" borderId="0" xfId="0" applyFont="1" applyAlignment="1">
      <alignment horizontal="center" vertical="center"/>
    </xf>
    <xf numFmtId="0" fontId="39" fillId="0" borderId="29" xfId="0" applyFont="1" applyBorder="1" applyAlignment="1">
      <alignment horizontal="center" vertical="center" wrapText="1"/>
    </xf>
    <xf numFmtId="0" fontId="30" fillId="0" borderId="0" xfId="0" applyFont="1" applyAlignment="1">
      <alignment horizontal="center" vertical="center" wrapText="1"/>
    </xf>
    <xf numFmtId="4" fontId="27" fillId="27" borderId="13" xfId="87" applyNumberFormat="1" applyFont="1" applyFill="1" applyBorder="1" applyAlignment="1" applyProtection="1">
      <alignment horizontal="center" vertical="center" shrinkToFit="1"/>
    </xf>
    <xf numFmtId="10" fontId="27" fillId="28" borderId="0" xfId="76" applyNumberFormat="1" applyFont="1" applyFill="1" applyBorder="1" applyAlignment="1" applyProtection="1">
      <alignment horizontal="center" vertical="center" shrinkToFit="1"/>
    </xf>
    <xf numFmtId="4" fontId="27" fillId="28" borderId="13" xfId="87" applyNumberFormat="1" applyFont="1" applyFill="1" applyBorder="1" applyAlignment="1" applyProtection="1">
      <alignment horizontal="center" vertical="center" shrinkToFit="1"/>
    </xf>
    <xf numFmtId="0" fontId="39" fillId="0" borderId="30" xfId="0" applyFont="1" applyBorder="1" applyAlignment="1">
      <alignment horizontal="center" vertical="center" wrapText="1"/>
    </xf>
    <xf numFmtId="0" fontId="2" fillId="0" borderId="17" xfId="0" applyFont="1" applyBorder="1" applyAlignment="1">
      <alignment horizontal="center"/>
    </xf>
    <xf numFmtId="0" fontId="23" fillId="27" borderId="18" xfId="0" applyFont="1" applyFill="1" applyBorder="1" applyAlignment="1">
      <alignment horizontal="center" vertical="center"/>
    </xf>
    <xf numFmtId="0" fontId="23" fillId="28" borderId="11" xfId="0" applyFont="1" applyFill="1" applyBorder="1" applyAlignment="1">
      <alignment horizontal="center" vertical="center"/>
    </xf>
    <xf numFmtId="0" fontId="23"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9" fillId="0" borderId="0" xfId="0" applyFont="1" applyAlignment="1">
      <alignment horizontal="center" wrapText="1"/>
    </xf>
    <xf numFmtId="0" fontId="51" fillId="0" borderId="0" xfId="0" applyFont="1"/>
    <xf numFmtId="0" fontId="2" fillId="0" borderId="31" xfId="0" applyFont="1" applyBorder="1" applyAlignment="1">
      <alignment vertical="center" wrapText="1" shrinkToFit="1"/>
    </xf>
    <xf numFmtId="0" fontId="41" fillId="24" borderId="32" xfId="0" applyFont="1" applyFill="1" applyBorder="1" applyAlignment="1">
      <alignment horizontal="center" vertical="center" wrapText="1"/>
    </xf>
    <xf numFmtId="165" fontId="2" fillId="0" borderId="28" xfId="87" applyFont="1" applyFill="1" applyBorder="1" applyAlignment="1" applyProtection="1">
      <alignment vertical="center" shrinkToFit="1"/>
    </xf>
    <xf numFmtId="0" fontId="2" fillId="0" borderId="0" xfId="0" applyFont="1" applyAlignment="1" applyProtection="1">
      <alignment horizontal="center"/>
      <protection locked="0"/>
    </xf>
    <xf numFmtId="0" fontId="23" fillId="27" borderId="11" xfId="0" applyFont="1" applyFill="1" applyBorder="1" applyAlignment="1">
      <alignment horizontal="center" vertical="center"/>
    </xf>
    <xf numFmtId="10" fontId="31" fillId="0" borderId="0" xfId="76" applyNumberFormat="1" applyFont="1" applyFill="1" applyBorder="1" applyAlignment="1" applyProtection="1">
      <alignment horizontal="center" vertical="center"/>
    </xf>
    <xf numFmtId="4" fontId="31" fillId="0" borderId="0" xfId="76" applyNumberFormat="1" applyFont="1" applyFill="1" applyBorder="1" applyAlignment="1" applyProtection="1">
      <alignment horizontal="center" vertical="center"/>
    </xf>
    <xf numFmtId="0" fontId="2" fillId="0" borderId="11" xfId="0" applyFont="1" applyBorder="1" applyAlignment="1">
      <alignment horizontal="center" vertical="center"/>
    </xf>
    <xf numFmtId="0" fontId="23" fillId="0" borderId="11" xfId="0" applyFont="1" applyBorder="1" applyAlignment="1">
      <alignment horizontal="center" vertical="center"/>
    </xf>
    <xf numFmtId="0" fontId="25" fillId="0" borderId="0" xfId="0" applyFont="1" applyAlignment="1">
      <alignment vertical="center"/>
    </xf>
    <xf numFmtId="0" fontId="22" fillId="0" borderId="0" xfId="0" applyFont="1" applyAlignment="1">
      <alignment horizontal="right" vertical="center"/>
    </xf>
    <xf numFmtId="0" fontId="0" fillId="0" borderId="0" xfId="0" applyAlignment="1">
      <alignment horizontal="center" vertical="top"/>
    </xf>
    <xf numFmtId="0" fontId="2" fillId="0" borderId="0" xfId="0" applyFont="1" applyAlignment="1">
      <alignment horizontal="center" wrapText="1"/>
    </xf>
    <xf numFmtId="0" fontId="49" fillId="0" borderId="0" xfId="0" applyFont="1" applyAlignment="1">
      <alignment wrapText="1"/>
    </xf>
    <xf numFmtId="0" fontId="23" fillId="0" borderId="0" xfId="0" applyFont="1" applyAlignment="1">
      <alignment horizontal="center" wrapText="1"/>
    </xf>
    <xf numFmtId="0" fontId="27" fillId="0" borderId="15" xfId="0" applyFont="1" applyBorder="1" applyAlignment="1">
      <alignment horizontal="center" vertical="center"/>
    </xf>
    <xf numFmtId="0" fontId="27" fillId="0" borderId="15" xfId="0" applyFont="1" applyBorder="1" applyAlignment="1">
      <alignment horizontal="center" vertical="center" wrapText="1"/>
    </xf>
    <xf numFmtId="0" fontId="27" fillId="0" borderId="30" xfId="0" applyFont="1" applyBorder="1" applyAlignment="1">
      <alignment horizontal="center" vertical="center" wrapText="1"/>
    </xf>
    <xf numFmtId="4" fontId="2" fillId="0" borderId="0" xfId="0" applyNumberFormat="1" applyFont="1" applyAlignment="1">
      <alignment horizontal="center" vertical="center"/>
    </xf>
    <xf numFmtId="0" fontId="3" fillId="0" borderId="0" xfId="0" applyFont="1"/>
    <xf numFmtId="0" fontId="2" fillId="0" borderId="0" xfId="0" applyFont="1" applyAlignment="1">
      <alignment vertical="top"/>
    </xf>
    <xf numFmtId="0" fontId="23" fillId="0" borderId="0" xfId="0" applyFont="1" applyAlignment="1">
      <alignment vertical="center"/>
    </xf>
    <xf numFmtId="4" fontId="3" fillId="0" borderId="0" xfId="0" applyNumberFormat="1" applyFont="1"/>
    <xf numFmtId="0" fontId="23" fillId="0" borderId="17" xfId="0" applyFont="1" applyBorder="1" applyAlignment="1">
      <alignment horizontal="left" vertical="center"/>
    </xf>
    <xf numFmtId="0" fontId="23" fillId="0" borderId="11" xfId="0" applyFont="1" applyBorder="1" applyAlignment="1">
      <alignment wrapText="1"/>
    </xf>
    <xf numFmtId="0" fontId="0" fillId="0" borderId="11" xfId="0" applyBorder="1"/>
    <xf numFmtId="0" fontId="0" fillId="0" borderId="11" xfId="0" quotePrefix="1" applyBorder="1"/>
    <xf numFmtId="10" fontId="31" fillId="0" borderId="11" xfId="76" applyNumberFormat="1" applyFont="1" applyFill="1" applyBorder="1" applyAlignment="1" applyProtection="1">
      <alignment horizontal="center" vertical="center"/>
    </xf>
    <xf numFmtId="4" fontId="31" fillId="0" borderId="11" xfId="76" applyNumberFormat="1" applyFont="1" applyFill="1" applyBorder="1" applyAlignment="1" applyProtection="1">
      <alignment horizontal="center" vertical="center"/>
    </xf>
    <xf numFmtId="4" fontId="27" fillId="27" borderId="18" xfId="87" applyNumberFormat="1" applyFont="1" applyFill="1" applyBorder="1" applyAlignment="1" applyProtection="1">
      <alignment horizontal="center" vertical="center" shrinkToFit="1"/>
    </xf>
    <xf numFmtId="10" fontId="27" fillId="28" borderId="11" xfId="76" applyNumberFormat="1" applyFont="1" applyFill="1" applyBorder="1" applyAlignment="1" applyProtection="1">
      <alignment horizontal="center" vertical="center" shrinkToFit="1"/>
    </xf>
    <xf numFmtId="4" fontId="27" fillId="28" borderId="18" xfId="87" applyNumberFormat="1" applyFont="1" applyFill="1" applyBorder="1" applyAlignment="1" applyProtection="1">
      <alignment horizontal="center" vertical="center" shrinkToFit="1"/>
    </xf>
    <xf numFmtId="0" fontId="2" fillId="0" borderId="15" xfId="0" applyFont="1" applyBorder="1" applyAlignment="1">
      <alignment horizontal="center" vertical="center"/>
    </xf>
    <xf numFmtId="0" fontId="2" fillId="0" borderId="33" xfId="0" applyFont="1" applyBorder="1" applyAlignment="1">
      <alignment horizontal="center" vertical="center"/>
    </xf>
    <xf numFmtId="10" fontId="27" fillId="27" borderId="11" xfId="76" applyNumberFormat="1" applyFont="1" applyFill="1" applyBorder="1" applyAlignment="1" applyProtection="1">
      <alignment horizontal="center" vertical="center" shrinkToFit="1"/>
    </xf>
    <xf numFmtId="10" fontId="27" fillId="27" borderId="0" xfId="76" applyNumberFormat="1" applyFont="1" applyFill="1" applyBorder="1" applyAlignment="1" applyProtection="1">
      <alignment horizontal="center" vertical="center" shrinkToFit="1"/>
    </xf>
    <xf numFmtId="4" fontId="31" fillId="0" borderId="12" xfId="76" applyNumberFormat="1" applyFont="1" applyFill="1" applyBorder="1" applyAlignment="1" applyProtection="1">
      <alignment horizontal="center" vertical="center"/>
    </xf>
    <xf numFmtId="10" fontId="0" fillId="0" borderId="14" xfId="0" applyNumberFormat="1" applyBorder="1"/>
    <xf numFmtId="49" fontId="2" fillId="25" borderId="24" xfId="0" applyNumberFormat="1" applyFont="1" applyFill="1" applyBorder="1" applyAlignment="1" applyProtection="1">
      <alignment horizontal="center" vertical="center" wrapText="1"/>
      <protection locked="0"/>
    </xf>
    <xf numFmtId="0" fontId="27" fillId="0" borderId="0" xfId="0" applyFont="1" applyAlignment="1">
      <alignment horizontal="center" vertical="center" wrapText="1"/>
    </xf>
    <xf numFmtId="0" fontId="2" fillId="0" borderId="14" xfId="0" applyFont="1" applyBorder="1"/>
    <xf numFmtId="0" fontId="0" fillId="0" borderId="0" xfId="0" quotePrefix="1"/>
    <xf numFmtId="0" fontId="31" fillId="0" borderId="0" xfId="0" applyFont="1" applyAlignment="1" applyProtection="1">
      <alignment horizontal="left" wrapText="1"/>
      <protection locked="0"/>
    </xf>
    <xf numFmtId="0" fontId="2" fillId="0" borderId="14" xfId="0" applyFont="1" applyBorder="1" applyProtection="1">
      <protection locked="0"/>
    </xf>
    <xf numFmtId="165" fontId="2" fillId="25" borderId="34" xfId="87" applyFont="1" applyFill="1" applyBorder="1" applyAlignment="1" applyProtection="1">
      <alignment vertical="center" shrinkToFit="1"/>
      <protection locked="0"/>
    </xf>
    <xf numFmtId="0" fontId="23" fillId="24" borderId="32" xfId="0" applyFont="1" applyFill="1" applyBorder="1" applyAlignment="1">
      <alignment horizontal="center" vertical="center" shrinkToFit="1"/>
    </xf>
    <xf numFmtId="0" fontId="23" fillId="24" borderId="25" xfId="0" applyFont="1" applyFill="1" applyBorder="1" applyAlignment="1">
      <alignment horizontal="center" vertical="center" shrinkToFit="1"/>
    </xf>
    <xf numFmtId="0" fontId="23" fillId="0" borderId="11" xfId="0" applyFont="1" applyBorder="1" applyAlignment="1">
      <alignment horizontal="center" vertical="center" wrapText="1" shrinkToFit="1"/>
    </xf>
    <xf numFmtId="14" fontId="27" fillId="0" borderId="11" xfId="0" applyNumberFormat="1" applyFont="1" applyBorder="1" applyAlignment="1">
      <alignment horizontal="center" vertical="center" wrapText="1"/>
    </xf>
    <xf numFmtId="0" fontId="2" fillId="0" borderId="28" xfId="0" applyFont="1" applyBorder="1" applyAlignment="1">
      <alignment horizontal="center" vertical="center"/>
    </xf>
    <xf numFmtId="10" fontId="31" fillId="25" borderId="35" xfId="76" applyNumberFormat="1" applyFont="1" applyFill="1" applyBorder="1" applyAlignment="1" applyProtection="1">
      <alignment horizontal="center" vertical="center"/>
      <protection locked="0" hidden="1"/>
    </xf>
    <xf numFmtId="0" fontId="27" fillId="0" borderId="12" xfId="0" applyFont="1" applyBorder="1" applyAlignment="1">
      <alignment horizontal="center" vertical="center" wrapText="1"/>
    </xf>
    <xf numFmtId="0" fontId="23" fillId="0" borderId="0" xfId="0" applyFont="1" applyAlignment="1">
      <alignment wrapText="1"/>
    </xf>
    <xf numFmtId="0" fontId="2" fillId="26" borderId="0" xfId="0" applyFont="1" applyFill="1"/>
    <xf numFmtId="165" fontId="2" fillId="25" borderId="24" xfId="87" applyFont="1" applyFill="1" applyBorder="1" applyAlignment="1" applyProtection="1">
      <alignment vertical="center" shrinkToFit="1"/>
    </xf>
    <xf numFmtId="10" fontId="31" fillId="25" borderId="36" xfId="76" applyNumberFormat="1" applyFont="1" applyFill="1" applyBorder="1" applyAlignment="1" applyProtection="1">
      <alignment horizontal="center" vertical="center"/>
      <protection locked="0"/>
    </xf>
    <xf numFmtId="10" fontId="31" fillId="25" borderId="35" xfId="76" applyNumberFormat="1" applyFont="1" applyFill="1" applyBorder="1" applyAlignment="1" applyProtection="1">
      <alignment horizontal="center" vertical="center"/>
      <protection locked="0"/>
    </xf>
    <xf numFmtId="10" fontId="31" fillId="25" borderId="37" xfId="76" applyNumberFormat="1" applyFont="1" applyFill="1" applyBorder="1" applyAlignment="1" applyProtection="1">
      <alignment horizontal="center" vertical="center"/>
      <protection locked="0"/>
    </xf>
    <xf numFmtId="165" fontId="2" fillId="31" borderId="24" xfId="87" applyFont="1" applyFill="1" applyBorder="1" applyAlignment="1" applyProtection="1">
      <alignment vertical="center" wrapText="1"/>
      <protection locked="0"/>
    </xf>
    <xf numFmtId="0" fontId="2" fillId="31" borderId="24" xfId="0" applyFont="1" applyFill="1" applyBorder="1" applyAlignment="1" applyProtection="1">
      <alignment horizontal="center" vertical="center" wrapText="1"/>
      <protection locked="0"/>
    </xf>
    <xf numFmtId="0" fontId="2" fillId="31" borderId="24" xfId="0" applyFont="1" applyFill="1" applyBorder="1" applyAlignment="1" applyProtection="1">
      <alignment vertical="center" wrapText="1"/>
      <protection locked="0"/>
    </xf>
    <xf numFmtId="10" fontId="2" fillId="31" borderId="24" xfId="76" applyNumberFormat="1" applyFont="1" applyFill="1" applyBorder="1" applyAlignment="1" applyProtection="1">
      <alignment horizontal="center" vertical="center" wrapText="1"/>
      <protection locked="0"/>
    </xf>
    <xf numFmtId="0" fontId="2" fillId="25" borderId="18" xfId="0" applyFont="1" applyFill="1" applyBorder="1" applyAlignment="1" applyProtection="1">
      <alignment horizontal="left" vertical="top" wrapText="1"/>
      <protection locked="0"/>
    </xf>
    <xf numFmtId="0" fontId="2" fillId="25" borderId="13" xfId="0" applyFont="1" applyFill="1" applyBorder="1" applyAlignment="1" applyProtection="1">
      <alignment horizontal="left" vertical="top" wrapText="1"/>
      <protection locked="0"/>
    </xf>
    <xf numFmtId="0" fontId="2" fillId="25" borderId="38" xfId="0" applyFont="1" applyFill="1" applyBorder="1" applyAlignment="1" applyProtection="1">
      <alignment horizontal="left" vertical="top" wrapText="1"/>
      <protection locked="0"/>
    </xf>
    <xf numFmtId="0" fontId="2" fillId="0" borderId="0" xfId="0" applyFont="1" applyAlignment="1">
      <alignment horizontal="left" wrapText="1" indent="3"/>
    </xf>
    <xf numFmtId="0" fontId="0" fillId="0" borderId="0" xfId="0" applyAlignment="1">
      <alignment horizontal="left" indent="3"/>
    </xf>
    <xf numFmtId="0" fontId="23" fillId="0" borderId="11" xfId="72" applyFont="1" applyBorder="1" applyAlignment="1">
      <alignment horizontal="left" vertical="top"/>
    </xf>
    <xf numFmtId="0" fontId="23" fillId="0" borderId="0" xfId="72" applyFont="1" applyAlignment="1">
      <alignment horizontal="left" vertical="top"/>
    </xf>
    <xf numFmtId="0" fontId="2" fillId="0" borderId="0" xfId="0" applyFont="1" applyAlignment="1">
      <alignment horizontal="left" wrapText="1" indent="2"/>
    </xf>
    <xf numFmtId="0" fontId="0" fillId="0" borderId="0" xfId="0" applyAlignment="1">
      <alignment horizontal="left" indent="2"/>
    </xf>
    <xf numFmtId="0" fontId="23" fillId="0" borderId="40" xfId="0" applyFont="1" applyBorder="1" applyAlignment="1">
      <alignment horizontal="left" wrapText="1"/>
    </xf>
    <xf numFmtId="0" fontId="23" fillId="0" borderId="0" xfId="0" applyFont="1" applyAlignment="1">
      <alignment horizontal="left" wrapText="1"/>
    </xf>
    <xf numFmtId="0" fontId="23" fillId="0" borderId="0" xfId="0" applyFont="1" applyAlignment="1">
      <alignment horizontal="left" wrapText="1" indent="1"/>
    </xf>
    <xf numFmtId="0" fontId="23" fillId="0" borderId="0" xfId="0" applyFont="1" applyAlignment="1">
      <alignment horizontal="left" indent="1"/>
    </xf>
    <xf numFmtId="0" fontId="23"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3" fillId="29" borderId="0" xfId="0" applyFont="1" applyFill="1" applyAlignment="1">
      <alignment horizontal="left" vertical="top" wrapText="1" indent="2"/>
    </xf>
    <xf numFmtId="0" fontId="53"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9" fillId="0" borderId="11" xfId="72" applyFont="1" applyBorder="1" applyAlignment="1">
      <alignment horizontal="left" vertical="top"/>
    </xf>
    <xf numFmtId="0" fontId="39" fillId="0" borderId="12" xfId="72" applyFont="1" applyBorder="1" applyAlignment="1">
      <alignment horizontal="left" vertical="top"/>
    </xf>
    <xf numFmtId="0" fontId="22" fillId="26" borderId="17" xfId="0" applyFont="1" applyFill="1" applyBorder="1" applyAlignment="1">
      <alignment horizontal="center" vertical="center" wrapText="1"/>
    </xf>
    <xf numFmtId="0" fontId="22" fillId="26" borderId="39" xfId="0" applyFont="1" applyFill="1" applyBorder="1" applyAlignment="1">
      <alignment horizontal="center" vertical="center" wrapText="1"/>
    </xf>
    <xf numFmtId="0" fontId="22" fillId="26" borderId="13" xfId="0" applyFont="1" applyFill="1" applyBorder="1" applyAlignment="1">
      <alignment horizontal="center" vertical="center" wrapText="1"/>
    </xf>
    <xf numFmtId="0" fontId="22" fillId="26" borderId="38" xfId="0" applyFont="1" applyFill="1" applyBorder="1" applyAlignment="1">
      <alignment horizontal="center" vertical="center" wrapText="1"/>
    </xf>
    <xf numFmtId="49" fontId="2"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2" fillId="25" borderId="18" xfId="76" applyNumberFormat="1" applyFont="1" applyFill="1" applyBorder="1" applyAlignment="1" applyProtection="1">
      <alignment horizontal="center" vertical="top" wrapText="1"/>
      <protection locked="0"/>
    </xf>
    <xf numFmtId="14" fontId="38" fillId="25" borderId="38" xfId="76" applyNumberFormat="1" applyFont="1" applyFill="1" applyBorder="1" applyAlignment="1" applyProtection="1">
      <alignment horizontal="center" vertical="top" wrapText="1"/>
      <protection locked="0"/>
    </xf>
    <xf numFmtId="49" fontId="2" fillId="25" borderId="18" xfId="76" applyNumberFormat="1" applyFont="1" applyFill="1" applyBorder="1" applyAlignment="1" applyProtection="1">
      <alignment horizontal="left" vertical="top" wrapText="1"/>
      <protection locked="0"/>
    </xf>
    <xf numFmtId="49" fontId="2" fillId="25" borderId="13" xfId="76" applyNumberFormat="1" applyFont="1" applyFill="1" applyBorder="1" applyAlignment="1" applyProtection="1">
      <alignment horizontal="left" vertical="top" wrapText="1"/>
      <protection locked="0"/>
    </xf>
    <xf numFmtId="49" fontId="38" fillId="25" borderId="13" xfId="76" applyNumberFormat="1" applyFont="1" applyFill="1" applyBorder="1" applyAlignment="1" applyProtection="1">
      <alignment horizontal="left" vertical="top" wrapText="1"/>
      <protection locked="0"/>
    </xf>
    <xf numFmtId="49" fontId="38" fillId="25" borderId="38" xfId="76" applyNumberFormat="1" applyFont="1" applyFill="1" applyBorder="1" applyAlignment="1" applyProtection="1">
      <alignment horizontal="left" vertical="top" wrapText="1"/>
      <protection locked="0"/>
    </xf>
    <xf numFmtId="14" fontId="2" fillId="25" borderId="38" xfId="76" applyNumberFormat="1" applyFont="1" applyFill="1" applyBorder="1" applyAlignment="1" applyProtection="1">
      <alignment horizontal="center" vertical="top" wrapText="1"/>
      <protection locked="0"/>
    </xf>
    <xf numFmtId="0" fontId="27" fillId="0" borderId="0" xfId="0" applyFont="1" applyAlignment="1">
      <alignment horizontal="center" vertical="center" wrapText="1"/>
    </xf>
    <xf numFmtId="0" fontId="2" fillId="0" borderId="40" xfId="0" applyFont="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wrapText="1"/>
    </xf>
    <xf numFmtId="0" fontId="2" fillId="0" borderId="40" xfId="0" applyFont="1" applyBorder="1" applyAlignment="1">
      <alignment horizontal="left" wrapText="1"/>
    </xf>
    <xf numFmtId="0" fontId="2" fillId="0" borderId="0" xfId="0" applyFont="1" applyAlignment="1">
      <alignment horizontal="left" wrapText="1" indent="1"/>
    </xf>
    <xf numFmtId="49" fontId="2" fillId="25" borderId="18" xfId="0" applyNumberFormat="1" applyFont="1" applyFill="1" applyBorder="1" applyAlignment="1" applyProtection="1">
      <alignment horizontal="left" vertical="top" wrapText="1"/>
      <protection locked="0"/>
    </xf>
    <xf numFmtId="49" fontId="2"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2" fillId="0" borderId="18" xfId="0" applyFont="1" applyBorder="1" applyAlignment="1">
      <alignment horizontal="left" vertical="top" wrapText="1"/>
    </xf>
    <xf numFmtId="0" fontId="2" fillId="0" borderId="13" xfId="0" applyFont="1" applyBorder="1" applyAlignment="1">
      <alignment horizontal="left" vertical="top" wrapText="1"/>
    </xf>
    <xf numFmtId="0" fontId="2"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2"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2" fillId="29" borderId="0" xfId="0" applyFont="1" applyFill="1" applyAlignment="1">
      <alignment horizontal="left" vertical="top" indent="2"/>
    </xf>
    <xf numFmtId="10" fontId="2" fillId="0" borderId="18" xfId="76" applyNumberFormat="1" applyFont="1" applyFill="1" applyBorder="1" applyAlignment="1" applyProtection="1">
      <alignment horizontal="left" vertical="top" wrapText="1"/>
    </xf>
    <xf numFmtId="10" fontId="2" fillId="0" borderId="13" xfId="76" applyNumberFormat="1" applyFont="1" applyFill="1" applyBorder="1" applyAlignment="1" applyProtection="1">
      <alignment horizontal="left" vertical="top" wrapText="1"/>
    </xf>
    <xf numFmtId="10" fontId="38" fillId="0" borderId="13" xfId="76" applyNumberFormat="1" applyFont="1" applyFill="1" applyBorder="1" applyAlignment="1" applyProtection="1">
      <alignment horizontal="left" vertical="top" wrapText="1"/>
    </xf>
    <xf numFmtId="10" fontId="38" fillId="0" borderId="38" xfId="76" applyNumberFormat="1" applyFont="1" applyFill="1" applyBorder="1" applyAlignment="1" applyProtection="1">
      <alignment horizontal="left" vertical="top" wrapText="1"/>
    </xf>
    <xf numFmtId="14" fontId="38" fillId="0" borderId="18" xfId="76" applyNumberFormat="1" applyFont="1" applyFill="1" applyBorder="1" applyAlignment="1" applyProtection="1">
      <alignment horizontal="center" vertical="top" wrapText="1"/>
    </xf>
    <xf numFmtId="14" fontId="38" fillId="0" borderId="38" xfId="76" applyNumberFormat="1" applyFont="1" applyFill="1" applyBorder="1" applyAlignment="1" applyProtection="1">
      <alignment horizontal="center" vertical="top" wrapText="1"/>
    </xf>
    <xf numFmtId="14" fontId="2" fillId="0" borderId="18" xfId="76" applyNumberFormat="1" applyFont="1" applyFill="1" applyBorder="1" applyAlignment="1" applyProtection="1">
      <alignment horizontal="center" vertical="top" wrapText="1"/>
    </xf>
    <xf numFmtId="14" fontId="2" fillId="0" borderId="38" xfId="76" applyNumberFormat="1" applyFont="1" applyFill="1" applyBorder="1" applyAlignment="1" applyProtection="1">
      <alignment horizontal="center" vertical="top" wrapText="1"/>
    </xf>
    <xf numFmtId="167" fontId="2" fillId="0" borderId="18" xfId="76" applyNumberFormat="1" applyFont="1" applyFill="1" applyBorder="1" applyAlignment="1" applyProtection="1">
      <alignment horizontal="left" vertical="top" wrapText="1"/>
    </xf>
    <xf numFmtId="167" fontId="2"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2" fillId="25" borderId="18" xfId="76" applyNumberFormat="1" applyFont="1" applyFill="1" applyBorder="1" applyAlignment="1" applyProtection="1">
      <alignment horizontal="left" vertical="top" wrapText="1"/>
      <protection locked="0"/>
    </xf>
    <xf numFmtId="10" fontId="38" fillId="25" borderId="13" xfId="76" applyNumberFormat="1" applyFont="1" applyFill="1" applyBorder="1" applyAlignment="1" applyProtection="1">
      <alignment horizontal="left" vertical="top" wrapText="1"/>
      <protection locked="0"/>
    </xf>
    <xf numFmtId="10" fontId="38" fillId="25" borderId="38" xfId="76" applyNumberFormat="1" applyFont="1" applyFill="1" applyBorder="1" applyAlignment="1" applyProtection="1">
      <alignment horizontal="left" vertical="top" wrapText="1"/>
      <protection locked="0"/>
    </xf>
    <xf numFmtId="171" fontId="2" fillId="0" borderId="0" xfId="71" applyNumberFormat="1" applyAlignment="1">
      <alignment horizontal="left"/>
    </xf>
    <xf numFmtId="0" fontId="46" fillId="0" borderId="0" xfId="71" applyFont="1" applyAlignment="1">
      <alignment horizontal="left" vertical="center" indent="1"/>
    </xf>
    <xf numFmtId="0" fontId="2" fillId="0" borderId="14" xfId="71" applyBorder="1" applyAlignment="1">
      <alignment horizontal="left" vertical="center" wrapText="1"/>
    </xf>
    <xf numFmtId="0" fontId="40" fillId="0" borderId="0" xfId="71" applyFont="1" applyAlignment="1">
      <alignment horizontal="left" vertical="center" wrapText="1"/>
    </xf>
    <xf numFmtId="2" fontId="34" fillId="0" borderId="17" xfId="71" applyNumberFormat="1" applyFont="1" applyBorder="1" applyAlignment="1">
      <alignment horizontal="center" vertical="center"/>
    </xf>
    <xf numFmtId="0" fontId="27" fillId="0" borderId="0" xfId="71" applyFont="1" applyAlignment="1">
      <alignment horizontal="left" vertical="center"/>
    </xf>
    <xf numFmtId="0" fontId="2" fillId="0" borderId="0" xfId="71" applyAlignment="1">
      <alignment horizontal="center" vertical="center"/>
    </xf>
    <xf numFmtId="0" fontId="36" fillId="0" borderId="14" xfId="71" applyFont="1" applyBorder="1" applyAlignment="1">
      <alignment horizontal="center" vertical="center" wrapText="1"/>
    </xf>
    <xf numFmtId="168" fontId="2" fillId="0" borderId="13" xfId="71" applyNumberFormat="1" applyBorder="1" applyAlignment="1">
      <alignment horizontal="left"/>
    </xf>
    <xf numFmtId="49" fontId="2" fillId="25" borderId="32" xfId="71" applyNumberFormat="1" applyFill="1" applyBorder="1" applyAlignment="1" applyProtection="1">
      <alignment horizontal="left" vertical="top" wrapText="1"/>
      <protection locked="0"/>
    </xf>
    <xf numFmtId="49" fontId="2" fillId="25" borderId="10" xfId="71" applyNumberFormat="1" applyFill="1" applyBorder="1" applyAlignment="1" applyProtection="1">
      <alignment horizontal="left" vertical="top" wrapText="1"/>
      <protection locked="0"/>
    </xf>
    <xf numFmtId="49" fontId="2" fillId="25" borderId="19" xfId="71" applyNumberFormat="1" applyFill="1" applyBorder="1" applyAlignment="1" applyProtection="1">
      <alignment horizontal="left" vertical="top" wrapText="1"/>
      <protection locked="0"/>
    </xf>
    <xf numFmtId="0" fontId="2" fillId="0" borderId="17" xfId="71" applyBorder="1" applyAlignment="1">
      <alignment horizontal="center" vertical="center"/>
    </xf>
    <xf numFmtId="49" fontId="2" fillId="0" borderId="0" xfId="71" applyNumberFormat="1" applyAlignment="1" applyProtection="1">
      <alignment horizontal="left"/>
      <protection locked="0"/>
    </xf>
    <xf numFmtId="0" fontId="48" fillId="0" borderId="0" xfId="71" applyFont="1" applyAlignment="1">
      <alignment horizontal="center" vertical="top" wrapText="1"/>
    </xf>
    <xf numFmtId="171" fontId="2" fillId="0" borderId="13" xfId="71" applyNumberFormat="1" applyBorder="1" applyAlignment="1">
      <alignment horizontal="left"/>
    </xf>
    <xf numFmtId="0" fontId="2" fillId="0" borderId="14" xfId="71" applyBorder="1" applyAlignment="1">
      <alignment horizontal="left" vertical="center"/>
    </xf>
    <xf numFmtId="0" fontId="23" fillId="0" borderId="14" xfId="71" applyFont="1" applyBorder="1" applyAlignment="1">
      <alignment horizontal="center" vertical="center"/>
    </xf>
    <xf numFmtId="0" fontId="42" fillId="0" borderId="0" xfId="0" quotePrefix="1" applyFont="1" applyAlignment="1">
      <alignment horizontal="left" vertical="center"/>
    </xf>
    <xf numFmtId="0" fontId="42" fillId="0" borderId="0" xfId="0" applyFont="1" applyAlignment="1">
      <alignment horizontal="left" vertical="center"/>
    </xf>
    <xf numFmtId="0" fontId="43" fillId="0" borderId="0" xfId="0" applyFont="1" applyAlignment="1">
      <alignment horizontal="center"/>
    </xf>
    <xf numFmtId="0" fontId="42" fillId="0" borderId="0" xfId="0" applyFont="1" applyAlignment="1">
      <alignment horizontal="center" vertical="top"/>
    </xf>
    <xf numFmtId="0" fontId="42" fillId="0" borderId="0" xfId="0" applyFont="1" applyAlignment="1">
      <alignment horizontal="right" vertical="center"/>
    </xf>
    <xf numFmtId="169" fontId="3" fillId="25" borderId="18" xfId="68" applyFont="1" applyFill="1" applyBorder="1" applyAlignment="1" applyProtection="1">
      <alignment horizontal="left"/>
      <protection locked="0"/>
    </xf>
    <xf numFmtId="169" fontId="3" fillId="25" borderId="13" xfId="68" applyFont="1" applyFill="1" applyBorder="1" applyAlignment="1" applyProtection="1">
      <alignment horizontal="left"/>
      <protection locked="0"/>
    </xf>
    <xf numFmtId="169" fontId="3" fillId="25" borderId="38" xfId="68" applyFont="1" applyFill="1" applyBorder="1" applyAlignment="1" applyProtection="1">
      <alignment horizontal="left"/>
      <protection locked="0"/>
    </xf>
    <xf numFmtId="0" fontId="2" fillId="0" borderId="18" xfId="71" applyBorder="1" applyAlignment="1">
      <alignment horizontal="center" vertical="top" wrapText="1"/>
    </xf>
    <xf numFmtId="0" fontId="2" fillId="0" borderId="38" xfId="71" applyBorder="1" applyAlignment="1">
      <alignment horizontal="center" vertical="top" wrapText="1"/>
    </xf>
    <xf numFmtId="0" fontId="2" fillId="0" borderId="18" xfId="71" applyBorder="1" applyAlignment="1">
      <alignment horizontal="left" vertical="top" wrapText="1"/>
    </xf>
    <xf numFmtId="0" fontId="2" fillId="0" borderId="38" xfId="71" applyBorder="1" applyAlignment="1">
      <alignment horizontal="left" vertical="top" wrapText="1"/>
    </xf>
    <xf numFmtId="49" fontId="2" fillId="0" borderId="18" xfId="71" applyNumberFormat="1" applyBorder="1" applyAlignment="1">
      <alignment horizontal="left" vertical="top" wrapText="1"/>
    </xf>
    <xf numFmtId="0" fontId="2" fillId="0" borderId="13" xfId="71" applyBorder="1" applyAlignment="1">
      <alignment horizontal="left" vertical="top" wrapText="1"/>
    </xf>
    <xf numFmtId="0" fontId="3" fillId="0" borderId="16" xfId="68" applyNumberFormat="1" applyFont="1" applyFill="1" applyBorder="1" applyAlignment="1" applyProtection="1">
      <alignment horizontal="left" wrapText="1"/>
    </xf>
    <xf numFmtId="0" fontId="23" fillId="0" borderId="0" xfId="71" applyFont="1" applyAlignment="1">
      <alignment horizontal="left" vertical="center"/>
    </xf>
    <xf numFmtId="10" fontId="3" fillId="25" borderId="14" xfId="71" applyNumberFormat="1" applyFont="1" applyFill="1" applyBorder="1" applyAlignment="1" applyProtection="1">
      <alignment horizontal="center"/>
      <protection locked="0"/>
    </xf>
    <xf numFmtId="0" fontId="3" fillId="0" borderId="14" xfId="71" applyFont="1" applyBorder="1" applyAlignment="1">
      <alignment horizontal="left"/>
    </xf>
    <xf numFmtId="0" fontId="27" fillId="0" borderId="14" xfId="71" applyFont="1" applyBorder="1" applyAlignment="1">
      <alignment horizontal="center" vertical="center"/>
    </xf>
    <xf numFmtId="0" fontId="3" fillId="0" borderId="14" xfId="71" applyFont="1" applyBorder="1" applyAlignment="1">
      <alignment horizontal="left" wrapText="1"/>
    </xf>
    <xf numFmtId="4" fontId="27" fillId="0" borderId="14" xfId="71" applyNumberFormat="1" applyFont="1" applyBorder="1" applyAlignment="1">
      <alignment horizontal="center" vertical="center" wrapText="1"/>
    </xf>
    <xf numFmtId="0" fontId="2" fillId="0" borderId="14" xfId="0" applyFont="1" applyBorder="1" applyAlignment="1">
      <alignment horizontal="center"/>
    </xf>
    <xf numFmtId="0" fontId="27" fillId="0" borderId="32" xfId="0" applyFont="1" applyBorder="1" applyAlignment="1">
      <alignment horizontal="left" wrapText="1"/>
    </xf>
    <xf numFmtId="0" fontId="27" fillId="0" borderId="10" xfId="0" applyFont="1" applyBorder="1" applyAlignment="1">
      <alignment horizontal="left" wrapText="1"/>
    </xf>
    <xf numFmtId="0" fontId="27" fillId="0" borderId="19" xfId="0" applyFont="1" applyBorder="1" applyAlignment="1">
      <alignment horizontal="left" wrapText="1"/>
    </xf>
    <xf numFmtId="0" fontId="31" fillId="25" borderId="11" xfId="0" applyFont="1" applyFill="1" applyBorder="1" applyAlignment="1" applyProtection="1">
      <alignment horizontal="left" wrapText="1"/>
      <protection locked="0"/>
    </xf>
    <xf numFmtId="0" fontId="31" fillId="25" borderId="0" xfId="0" applyFont="1" applyFill="1" applyAlignment="1" applyProtection="1">
      <alignment horizontal="left" wrapText="1"/>
      <protection locked="0"/>
    </xf>
    <xf numFmtId="0" fontId="31" fillId="25" borderId="12" xfId="0" applyFont="1" applyFill="1" applyBorder="1" applyAlignment="1" applyProtection="1">
      <alignment horizontal="left" wrapText="1"/>
      <protection locked="0"/>
    </xf>
    <xf numFmtId="0" fontId="31" fillId="25" borderId="18" xfId="0" applyFont="1" applyFill="1" applyBorder="1" applyAlignment="1" applyProtection="1">
      <alignment horizontal="left" wrapText="1"/>
      <protection locked="0"/>
    </xf>
    <xf numFmtId="0" fontId="31" fillId="25" borderId="13" xfId="0" applyFont="1" applyFill="1" applyBorder="1" applyAlignment="1" applyProtection="1">
      <alignment horizontal="left" wrapText="1"/>
      <protection locked="0"/>
    </xf>
    <xf numFmtId="0" fontId="31" fillId="25" borderId="38" xfId="0" applyFont="1" applyFill="1" applyBorder="1" applyAlignment="1" applyProtection="1">
      <alignment horizontal="left" wrapText="1"/>
      <protection locked="0"/>
    </xf>
    <xf numFmtId="0" fontId="31" fillId="0" borderId="32" xfId="0" applyFont="1" applyBorder="1" applyAlignment="1" applyProtection="1">
      <alignment horizontal="left" vertical="center"/>
      <protection locked="0"/>
    </xf>
    <xf numFmtId="0" fontId="31" fillId="0" borderId="10" xfId="0" applyFont="1" applyBorder="1" applyAlignment="1" applyProtection="1">
      <alignment horizontal="left" vertical="center"/>
      <protection locked="0"/>
    </xf>
    <xf numFmtId="0" fontId="31" fillId="0" borderId="19" xfId="0" applyFont="1" applyBorder="1" applyAlignment="1" applyProtection="1">
      <alignment horizontal="left" vertical="center"/>
      <protection locked="0"/>
    </xf>
    <xf numFmtId="170" fontId="2" fillId="0" borderId="0" xfId="0" applyNumberFormat="1" applyFont="1" applyAlignment="1" applyProtection="1">
      <alignment horizontal="left"/>
      <protection locked="0"/>
    </xf>
    <xf numFmtId="171" fontId="2" fillId="0" borderId="13" xfId="0" applyNumberFormat="1" applyFont="1" applyBorder="1" applyAlignment="1" applyProtection="1">
      <alignment horizontal="left"/>
      <protection locked="0"/>
    </xf>
    <xf numFmtId="171" fontId="2" fillId="0" borderId="13" xfId="0" applyNumberFormat="1" applyFont="1" applyBorder="1" applyAlignment="1">
      <alignment horizontal="left"/>
    </xf>
    <xf numFmtId="170" fontId="2" fillId="0" borderId="13" xfId="0" applyNumberFormat="1" applyFont="1" applyBorder="1" applyAlignment="1">
      <alignment horizontal="left"/>
    </xf>
    <xf numFmtId="0" fontId="31" fillId="30" borderId="37" xfId="0" applyFont="1" applyFill="1" applyBorder="1" applyAlignment="1">
      <alignment horizontal="center" vertical="center" wrapText="1"/>
    </xf>
    <xf numFmtId="0" fontId="31" fillId="30" borderId="12" xfId="0" applyFont="1" applyFill="1" applyBorder="1" applyAlignment="1">
      <alignment horizontal="center" vertical="center" wrapText="1"/>
    </xf>
    <xf numFmtId="4" fontId="31" fillId="30" borderId="28" xfId="0" applyNumberFormat="1" applyFont="1" applyFill="1" applyBorder="1" applyAlignment="1">
      <alignment horizontal="center" vertical="center"/>
    </xf>
    <xf numFmtId="4" fontId="31" fillId="30" borderId="15" xfId="0" applyNumberFormat="1" applyFont="1" applyFill="1" applyBorder="1" applyAlignment="1">
      <alignment horizontal="center" vertical="center"/>
    </xf>
    <xf numFmtId="0" fontId="50" fillId="0" borderId="0" xfId="0" applyFont="1" applyAlignment="1">
      <alignment horizontal="center" vertical="top" wrapText="1"/>
    </xf>
    <xf numFmtId="0" fontId="31" fillId="30" borderId="36" xfId="0" applyFont="1" applyFill="1" applyBorder="1" applyAlignment="1">
      <alignment horizontal="center" vertical="center" shrinkToFit="1"/>
    </xf>
    <xf numFmtId="0" fontId="31" fillId="30" borderId="11" xfId="0" applyFont="1" applyFill="1" applyBorder="1" applyAlignment="1">
      <alignment horizontal="center" vertical="center" shrinkToFit="1"/>
    </xf>
    <xf numFmtId="168" fontId="2" fillId="0" borderId="0" xfId="0" applyNumberFormat="1" applyFont="1" applyAlignment="1">
      <alignment horizontal="left"/>
    </xf>
    <xf numFmtId="49" fontId="2" fillId="0" borderId="0" xfId="0" applyNumberFormat="1" applyFont="1" applyAlignment="1">
      <alignment horizontal="left"/>
    </xf>
    <xf numFmtId="0" fontId="2" fillId="0" borderId="0" xfId="0" applyFont="1" applyAlignment="1">
      <alignment horizontal="left"/>
    </xf>
    <xf numFmtId="171" fontId="2" fillId="0" borderId="13" xfId="0" applyNumberFormat="1" applyFont="1" applyBorder="1" applyAlignment="1">
      <alignment horizontal="left" vertical="center"/>
    </xf>
    <xf numFmtId="170" fontId="2" fillId="0" borderId="13" xfId="0" applyNumberFormat="1" applyFont="1" applyBorder="1" applyAlignment="1">
      <alignment horizontal="left" vertical="center"/>
    </xf>
    <xf numFmtId="0" fontId="27" fillId="24" borderId="21" xfId="0" applyFont="1" applyFill="1" applyBorder="1" applyAlignment="1">
      <alignment horizontal="center" vertical="center" wrapText="1"/>
    </xf>
    <xf numFmtId="0" fontId="27" fillId="24" borderId="39" xfId="0"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27" fillId="24" borderId="18" xfId="0" applyFont="1" applyFill="1" applyBorder="1" applyAlignment="1">
      <alignment horizontal="center" vertical="center" wrapText="1"/>
    </xf>
    <xf numFmtId="0" fontId="27" fillId="24" borderId="38" xfId="0" applyFont="1" applyFill="1" applyBorder="1" applyAlignment="1">
      <alignment horizontal="center" vertical="center" wrapText="1"/>
    </xf>
    <xf numFmtId="4" fontId="27" fillId="24" borderId="30" xfId="0" applyNumberFormat="1" applyFont="1" applyFill="1" applyBorder="1" applyAlignment="1">
      <alignment horizontal="center" vertical="center" shrinkToFit="1"/>
    </xf>
    <xf numFmtId="4" fontId="27" fillId="24" borderId="15" xfId="0" applyNumberFormat="1" applyFont="1" applyFill="1" applyBorder="1" applyAlignment="1">
      <alignment horizontal="center" vertical="center" shrinkToFit="1"/>
    </xf>
    <xf numFmtId="4" fontId="27" fillId="24" borderId="16" xfId="0" applyNumberFormat="1" applyFont="1" applyFill="1" applyBorder="1" applyAlignment="1">
      <alignment horizontal="center" vertical="center" shrinkToFit="1"/>
    </xf>
    <xf numFmtId="0" fontId="3" fillId="28" borderId="23" xfId="0" applyFont="1" applyFill="1" applyBorder="1" applyAlignment="1" applyProtection="1">
      <alignment vertical="center" wrapText="1"/>
    </xf>
    <xf numFmtId="0" fontId="3" fillId="25" borderId="23" xfId="0" applyFont="1" applyFill="1" applyBorder="1" applyAlignment="1" applyProtection="1">
      <alignment vertical="center" wrapText="1"/>
    </xf>
    <xf numFmtId="49" fontId="2" fillId="25" borderId="24" xfId="0" applyNumberFormat="1" applyFont="1" applyFill="1" applyBorder="1" applyAlignment="1" applyProtection="1">
      <alignment horizontal="center" vertical="center" wrapText="1"/>
    </xf>
    <xf numFmtId="0" fontId="2" fillId="31" borderId="24" xfId="0" applyFont="1" applyFill="1" applyBorder="1" applyAlignment="1" applyProtection="1">
      <alignment vertical="center" wrapText="1"/>
    </xf>
    <xf numFmtId="0" fontId="2" fillId="31" borderId="24" xfId="0" applyFont="1" applyFill="1" applyBorder="1" applyAlignment="1" applyProtection="1">
      <alignment horizontal="center" vertical="center" wrapText="1"/>
    </xf>
    <xf numFmtId="165" fontId="2" fillId="25" borderId="34" xfId="87" applyFont="1" applyFill="1" applyBorder="1" applyAlignment="1" applyProtection="1">
      <alignment vertical="center" shrinkToFit="1"/>
    </xf>
    <xf numFmtId="0" fontId="2" fillId="25" borderId="25" xfId="0" applyFont="1" applyFill="1" applyBorder="1" applyAlignment="1" applyProtection="1">
      <alignment horizontal="center" textRotation="90" wrapText="1"/>
    </xf>
  </cellXfs>
  <cellStyles count="91">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 3" xfId="90" xr:uid="{00000000-0005-0000-0000-000043000000}"/>
    <cellStyle name="Moeda_Composicao BDI v2.1" xfId="68" xr:uid="{00000000-0005-0000-0000-000044000000}"/>
    <cellStyle name="Neutral" xfId="70" xr:uid="{00000000-0005-0000-0000-000046000000}"/>
    <cellStyle name="Neutro" xfId="69" builtinId="28" customBuiltin="1"/>
    <cellStyle name="Normal" xfId="0" builtinId="0"/>
    <cellStyle name="Normal 2" xfId="71" xr:uid="{00000000-0005-0000-0000-000048000000}"/>
    <cellStyle name="Normal 3" xfId="89" xr:uid="{00000000-0005-0000-0000-000049000000}"/>
    <cellStyle name="Normal_FICHA DE VERIFICAÇÃO PRELIMINAR - Plano R" xfId="72" xr:uid="{00000000-0005-0000-0000-00004A000000}"/>
    <cellStyle name="Nota" xfId="73" builtinId="10" customBuiltin="1"/>
    <cellStyle name="Note" xfId="74" xr:uid="{00000000-0005-0000-0000-00004C000000}"/>
    <cellStyle name="Output" xfId="75" xr:uid="{00000000-0005-0000-0000-00004D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2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A000000}"/>
  </cellStyles>
  <dxfs count="298">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207880" name="SigiloPic">
              <a:extLst>
                <a:ext uri="{FF2B5EF4-FFF2-40B4-BE49-F238E27FC236}">
                  <a16:creationId xmlns:a16="http://schemas.microsoft.com/office/drawing/2014/main" id="{00000000-0008-0000-0100-0000082C0300}"/>
                </a:ext>
              </a:extLst>
            </xdr:cNvPr>
            <xdr:cNvPicPr>
              <a:picLocks noChangeArrowheads="1"/>
              <a:extLst>
                <a:ext uri="{84589F7E-364E-4C9E-8A38-B11213B215E9}">
                  <a14:cameraTool cellRange="PO!$T$1:$T$2" spid="_x0000_s208219"/>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201899" name="Picture 482">
              <a:extLst>
                <a:ext uri="{FF2B5EF4-FFF2-40B4-BE49-F238E27FC236}">
                  <a16:creationId xmlns:a16="http://schemas.microsoft.com/office/drawing/2014/main" id="{00000000-0008-0000-0200-0000AB140300}"/>
                </a:ext>
              </a:extLst>
            </xdr:cNvPr>
            <xdr:cNvPicPr>
              <a:picLocks noChangeArrowheads="1"/>
              <a:extLst>
                <a:ext uri="{84589F7E-364E-4C9E-8A38-B11213B215E9}">
                  <a14:cameraTool cellRange="DADOS!$A$220:$X$230" spid="_x0000_s202597"/>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50</xdr:row>
          <xdr:rowOff>0</xdr:rowOff>
        </xdr:from>
        <xdr:to>
          <xdr:col>19</xdr:col>
          <xdr:colOff>104775</xdr:colOff>
          <xdr:row>54</xdr:row>
          <xdr:rowOff>152400</xdr:rowOff>
        </xdr:to>
        <xdr:pic>
          <xdr:nvPicPr>
            <xdr:cNvPr id="201900" name="Picture 483">
              <a:extLst>
                <a:ext uri="{FF2B5EF4-FFF2-40B4-BE49-F238E27FC236}">
                  <a16:creationId xmlns:a16="http://schemas.microsoft.com/office/drawing/2014/main" id="{00000000-0008-0000-0200-0000AC140300}"/>
                </a:ext>
              </a:extLst>
            </xdr:cNvPr>
            <xdr:cNvPicPr>
              <a:picLocks noChangeArrowheads="1"/>
              <a:extLst>
                <a:ext uri="{84589F7E-364E-4C9E-8A38-B11213B215E9}">
                  <a14:cameraTool cellRange="DADOS!$A$53:$K$57" spid="_x0000_s202598"/>
                </a:ext>
              </a:extLst>
            </xdr:cNvPicPr>
          </xdr:nvPicPr>
          <xdr:blipFill>
            <a:blip xmlns:r="http://schemas.openxmlformats.org/officeDocument/2006/relationships" r:embed="rId3"/>
            <a:srcRect/>
            <a:stretch>
              <a:fillRect/>
            </a:stretch>
          </xdr:blipFill>
          <xdr:spPr bwMode="auto">
            <a:xfrm>
              <a:off x="7210425" y="10306050"/>
              <a:ext cx="6372225" cy="8001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204953" name="PIC1">
              <a:extLst>
                <a:ext uri="{FF2B5EF4-FFF2-40B4-BE49-F238E27FC236}">
                  <a16:creationId xmlns:a16="http://schemas.microsoft.com/office/drawing/2014/main" id="{00000000-0008-0000-0300-000099200300}"/>
                </a:ext>
              </a:extLst>
            </xdr:cNvPr>
            <xdr:cNvPicPr>
              <a:picLocks noChangeArrowheads="1"/>
              <a:extLst>
                <a:ext uri="{84589F7E-364E-4C9E-8A38-B11213B215E9}">
                  <a14:cameraTool cellRange="DADOS!$A$220:$X$230" spid="_x0000_s215481"/>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204954" name="PIC2">
              <a:extLst>
                <a:ext uri="{FF2B5EF4-FFF2-40B4-BE49-F238E27FC236}">
                  <a16:creationId xmlns:a16="http://schemas.microsoft.com/office/drawing/2014/main" id="{00000000-0008-0000-0300-00009A200300}"/>
                </a:ext>
              </a:extLst>
            </xdr:cNvPr>
            <xdr:cNvPicPr>
              <a:picLocks noChangeArrowheads="1"/>
              <a:extLst>
                <a:ext uri="{84589F7E-364E-4C9E-8A38-B11213B215E9}">
                  <a14:cameraTool cellRange="DADOS!$A$220:$X$230" spid="_x0000_s215482"/>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41</xdr:row>
          <xdr:rowOff>9525</xdr:rowOff>
        </xdr:from>
        <xdr:to>
          <xdr:col>14</xdr:col>
          <xdr:colOff>28575</xdr:colOff>
          <xdr:row>45</xdr:row>
          <xdr:rowOff>152400</xdr:rowOff>
        </xdr:to>
        <xdr:pic>
          <xdr:nvPicPr>
            <xdr:cNvPr id="204955" name="Picture 483">
              <a:extLst>
                <a:ext uri="{FF2B5EF4-FFF2-40B4-BE49-F238E27FC236}">
                  <a16:creationId xmlns:a16="http://schemas.microsoft.com/office/drawing/2014/main" id="{00000000-0008-0000-0300-00009B200300}"/>
                </a:ext>
              </a:extLst>
            </xdr:cNvPr>
            <xdr:cNvPicPr>
              <a:picLocks noChangeArrowheads="1"/>
              <a:extLst>
                <a:ext uri="{84589F7E-364E-4C9E-8A38-B11213B215E9}">
                  <a14:cameraTool cellRange="DADOS!$A$53:$K$57" spid="_x0000_s215483"/>
                </a:ext>
              </a:extLst>
            </xdr:cNvPicPr>
          </xdr:nvPicPr>
          <xdr:blipFill>
            <a:blip xmlns:r="http://schemas.openxmlformats.org/officeDocument/2006/relationships" r:embed="rId3"/>
            <a:srcRect/>
            <a:stretch>
              <a:fillRect/>
            </a:stretch>
          </xdr:blipFill>
          <xdr:spPr bwMode="auto">
            <a:xfrm>
              <a:off x="7667625" y="10248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204956" name="SigiloPic">
              <a:extLst>
                <a:ext uri="{FF2B5EF4-FFF2-40B4-BE49-F238E27FC236}">
                  <a16:creationId xmlns:a16="http://schemas.microsoft.com/office/drawing/2014/main" id="{00000000-0008-0000-0300-00009C200300}"/>
                </a:ext>
              </a:extLst>
            </xdr:cNvPr>
            <xdr:cNvPicPr>
              <a:picLocks noChangeArrowheads="1"/>
              <a:extLst>
                <a:ext uri="{84589F7E-364E-4C9E-8A38-B11213B215E9}">
                  <a14:cameraTool cellRange="PO!$T$1:$T$2" spid="_x0000_s215484"/>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7318" name="PIC2">
              <a:extLst>
                <a:ext uri="{FF2B5EF4-FFF2-40B4-BE49-F238E27FC236}">
                  <a16:creationId xmlns:a16="http://schemas.microsoft.com/office/drawing/2014/main" id="{00000000-0008-0000-0400-0000D6290300}"/>
                </a:ext>
              </a:extLst>
            </xdr:cNvPr>
            <xdr:cNvPicPr>
              <a:picLocks noChangeArrowheads="1"/>
              <a:extLst>
                <a:ext uri="{84589F7E-364E-4C9E-8A38-B11213B215E9}">
                  <a14:cameraTool cellRange="DADOS!$A$220:$X$230" spid="_x0000_s218054"/>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7319" name="PIC1">
              <a:extLst>
                <a:ext uri="{FF2B5EF4-FFF2-40B4-BE49-F238E27FC236}">
                  <a16:creationId xmlns:a16="http://schemas.microsoft.com/office/drawing/2014/main" id="{00000000-0008-0000-0400-0000D7290300}"/>
                </a:ext>
              </a:extLst>
            </xdr:cNvPr>
            <xdr:cNvPicPr>
              <a:picLocks noChangeArrowheads="1"/>
              <a:extLst>
                <a:ext uri="{84589F7E-364E-4C9E-8A38-B11213B215E9}">
                  <a14:cameraTool cellRange="DADOS!$A$220:$X$230" spid="_x0000_s218055"/>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40</xdr:row>
          <xdr:rowOff>0</xdr:rowOff>
        </xdr:from>
        <xdr:to>
          <xdr:col>22</xdr:col>
          <xdr:colOff>28575</xdr:colOff>
          <xdr:row>44</xdr:row>
          <xdr:rowOff>142875</xdr:rowOff>
        </xdr:to>
        <xdr:pic>
          <xdr:nvPicPr>
            <xdr:cNvPr id="207320" name="Picture 483">
              <a:extLst>
                <a:ext uri="{FF2B5EF4-FFF2-40B4-BE49-F238E27FC236}">
                  <a16:creationId xmlns:a16="http://schemas.microsoft.com/office/drawing/2014/main" id="{00000000-0008-0000-0400-0000D8290300}"/>
                </a:ext>
              </a:extLst>
            </xdr:cNvPr>
            <xdr:cNvPicPr>
              <a:picLocks noChangeArrowheads="1"/>
              <a:extLst>
                <a:ext uri="{84589F7E-364E-4C9E-8A38-B11213B215E9}">
                  <a14:cameraTool cellRange="DADOS!$A$53:$K$57" spid="_x0000_s218056"/>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7321" name="SigiloPic">
              <a:extLst>
                <a:ext uri="{FF2B5EF4-FFF2-40B4-BE49-F238E27FC236}">
                  <a16:creationId xmlns:a16="http://schemas.microsoft.com/office/drawing/2014/main" id="{00000000-0008-0000-0400-0000D9290300}"/>
                </a:ext>
              </a:extLst>
            </xdr:cNvPr>
            <xdr:cNvPicPr>
              <a:picLocks noChangeArrowheads="1"/>
              <a:extLst>
                <a:ext uri="{84589F7E-364E-4C9E-8A38-B11213B215E9}">
                  <a14:cameraTool cellRange="PO!$T$1:$T$2" spid="_x0000_s218057"/>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142875</xdr:rowOff>
        </xdr:to>
        <xdr:pic>
          <xdr:nvPicPr>
            <xdr:cNvPr id="207322" name="Picture 130522">
              <a:extLst>
                <a:ext uri="{FF2B5EF4-FFF2-40B4-BE49-F238E27FC236}">
                  <a16:creationId xmlns:a16="http://schemas.microsoft.com/office/drawing/2014/main" id="{00000000-0008-0000-0400-0000DA290300}"/>
                </a:ext>
              </a:extLst>
            </xdr:cNvPr>
            <xdr:cNvPicPr>
              <a:picLocks noChangeArrowheads="1"/>
              <a:extLst>
                <a:ext uri="{84589F7E-364E-4C9E-8A38-B11213B215E9}">
                  <a14:cameraTool cellRange="DADOS!$A$53:$K$57" spid="_x0000_s218058"/>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3" name="Picture 130523">
              <a:extLst>
                <a:ext uri="{FF2B5EF4-FFF2-40B4-BE49-F238E27FC236}">
                  <a16:creationId xmlns:a16="http://schemas.microsoft.com/office/drawing/2014/main" id="{00000000-0008-0000-0400-0000DB290300}"/>
                </a:ext>
              </a:extLst>
            </xdr:cNvPr>
            <xdr:cNvPicPr>
              <a:picLocks noChangeArrowheads="1"/>
              <a:extLst>
                <a:ext uri="{84589F7E-364E-4C9E-8A38-B11213B215E9}">
                  <a14:cameraTool cellRange="PO!$T$1:$T$2" spid="_x0000_s21805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142875</xdr:rowOff>
        </xdr:to>
        <xdr:pic>
          <xdr:nvPicPr>
            <xdr:cNvPr id="207324" name="Picture 130524">
              <a:extLst>
                <a:ext uri="{FF2B5EF4-FFF2-40B4-BE49-F238E27FC236}">
                  <a16:creationId xmlns:a16="http://schemas.microsoft.com/office/drawing/2014/main" id="{00000000-0008-0000-0400-0000DC290300}"/>
                </a:ext>
              </a:extLst>
            </xdr:cNvPr>
            <xdr:cNvPicPr>
              <a:picLocks noChangeArrowheads="1"/>
              <a:extLst>
                <a:ext uri="{84589F7E-364E-4C9E-8A38-B11213B215E9}">
                  <a14:cameraTool cellRange="DADOS!$A$53:$K$57" spid="_x0000_s218060"/>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5" name="Picture 130525">
              <a:extLst>
                <a:ext uri="{FF2B5EF4-FFF2-40B4-BE49-F238E27FC236}">
                  <a16:creationId xmlns:a16="http://schemas.microsoft.com/office/drawing/2014/main" id="{00000000-0008-0000-0400-0000DD290300}"/>
                </a:ext>
              </a:extLst>
            </xdr:cNvPr>
            <xdr:cNvPicPr>
              <a:picLocks noChangeArrowheads="1"/>
              <a:extLst>
                <a:ext uri="{84589F7E-364E-4C9E-8A38-B11213B215E9}">
                  <a14:cameraTool cellRange="PO!$T$1:$T$2" spid="_x0000_s21806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142875</xdr:rowOff>
        </xdr:to>
        <xdr:pic>
          <xdr:nvPicPr>
            <xdr:cNvPr id="207326" name="Picture 130526">
              <a:extLst>
                <a:ext uri="{FF2B5EF4-FFF2-40B4-BE49-F238E27FC236}">
                  <a16:creationId xmlns:a16="http://schemas.microsoft.com/office/drawing/2014/main" id="{00000000-0008-0000-0400-0000DE290300}"/>
                </a:ext>
              </a:extLst>
            </xdr:cNvPr>
            <xdr:cNvPicPr>
              <a:picLocks noChangeArrowheads="1"/>
              <a:extLst>
                <a:ext uri="{84589F7E-364E-4C9E-8A38-B11213B215E9}">
                  <a14:cameraTool cellRange="DADOS!$A$53:$K$57" spid="_x0000_s218062"/>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7" name="Picture 130527">
              <a:extLst>
                <a:ext uri="{FF2B5EF4-FFF2-40B4-BE49-F238E27FC236}">
                  <a16:creationId xmlns:a16="http://schemas.microsoft.com/office/drawing/2014/main" id="{00000000-0008-0000-0400-0000DF290300}"/>
                </a:ext>
              </a:extLst>
            </xdr:cNvPr>
            <xdr:cNvPicPr>
              <a:picLocks noChangeArrowheads="1"/>
              <a:extLst>
                <a:ext uri="{84589F7E-364E-4C9E-8A38-B11213B215E9}">
                  <a14:cameraTool cellRange="PO!$T$1:$T$2" spid="_x0000_s21806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142875</xdr:rowOff>
        </xdr:to>
        <xdr:pic>
          <xdr:nvPicPr>
            <xdr:cNvPr id="207328" name="Picture 130528">
              <a:extLst>
                <a:ext uri="{FF2B5EF4-FFF2-40B4-BE49-F238E27FC236}">
                  <a16:creationId xmlns:a16="http://schemas.microsoft.com/office/drawing/2014/main" id="{00000000-0008-0000-0400-0000E0290300}"/>
                </a:ext>
              </a:extLst>
            </xdr:cNvPr>
            <xdr:cNvPicPr>
              <a:picLocks noChangeArrowheads="1"/>
              <a:extLst>
                <a:ext uri="{84589F7E-364E-4C9E-8A38-B11213B215E9}">
                  <a14:cameraTool cellRange="DADOS!$A$53:$K$57" spid="_x0000_s218064"/>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9" name="Picture 130529">
              <a:extLst>
                <a:ext uri="{FF2B5EF4-FFF2-40B4-BE49-F238E27FC236}">
                  <a16:creationId xmlns:a16="http://schemas.microsoft.com/office/drawing/2014/main" id="{00000000-0008-0000-0400-0000E1290300}"/>
                </a:ext>
              </a:extLst>
            </xdr:cNvPr>
            <xdr:cNvPicPr>
              <a:picLocks noChangeArrowheads="1"/>
              <a:extLst>
                <a:ext uri="{84589F7E-364E-4C9E-8A38-B11213B215E9}">
                  <a14:cameraTool cellRange="PO!$T$1:$T$2" spid="_x0000_s21806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142875</xdr:rowOff>
        </xdr:to>
        <xdr:pic>
          <xdr:nvPicPr>
            <xdr:cNvPr id="207330" name="Picture 130530">
              <a:extLst>
                <a:ext uri="{FF2B5EF4-FFF2-40B4-BE49-F238E27FC236}">
                  <a16:creationId xmlns:a16="http://schemas.microsoft.com/office/drawing/2014/main" id="{00000000-0008-0000-0400-0000E2290300}"/>
                </a:ext>
              </a:extLst>
            </xdr:cNvPr>
            <xdr:cNvPicPr>
              <a:picLocks noChangeArrowheads="1"/>
              <a:extLst>
                <a:ext uri="{84589F7E-364E-4C9E-8A38-B11213B215E9}">
                  <a14:cameraTool cellRange="DADOS!$A$53:$K$57" spid="_x0000_s218066"/>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31" name="Picture 130531">
              <a:extLst>
                <a:ext uri="{FF2B5EF4-FFF2-40B4-BE49-F238E27FC236}">
                  <a16:creationId xmlns:a16="http://schemas.microsoft.com/office/drawing/2014/main" id="{00000000-0008-0000-0400-0000E3290300}"/>
                </a:ext>
              </a:extLst>
            </xdr:cNvPr>
            <xdr:cNvPicPr>
              <a:picLocks noChangeArrowheads="1"/>
              <a:extLst>
                <a:ext uri="{84589F7E-364E-4C9E-8A38-B11213B215E9}">
                  <a14:cameraTool cellRange="PO!$T$1:$T$2" spid="_x0000_s21806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17" zoomScaleNormal="100" zoomScaleSheetLayoutView="100" workbookViewId="0">
      <selection activeCell="Q44" sqref="Q44"/>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2" t="s">
        <v>2</v>
      </c>
      <c r="C1" s="222"/>
      <c r="D1" s="222"/>
      <c r="E1" s="222"/>
      <c r="F1" s="222"/>
      <c r="G1" s="222"/>
      <c r="H1" s="222"/>
      <c r="I1" s="222"/>
      <c r="J1" s="222"/>
      <c r="K1" s="222"/>
      <c r="L1" s="222"/>
      <c r="M1" s="222"/>
      <c r="N1" s="222"/>
      <c r="O1" s="222"/>
      <c r="P1" s="222"/>
      <c r="Q1" s="222"/>
      <c r="R1" s="222"/>
      <c r="S1" s="222"/>
      <c r="T1" s="222"/>
      <c r="U1" s="222"/>
      <c r="V1" s="222"/>
      <c r="W1" s="222"/>
      <c r="X1" s="223"/>
    </row>
    <row r="2" spans="1:25" ht="13.5" customHeight="1" x14ac:dyDescent="0.2">
      <c r="A2" s="90" t="s">
        <v>228</v>
      </c>
      <c r="B2" s="224"/>
      <c r="C2" s="224"/>
      <c r="D2" s="224"/>
      <c r="E2" s="224"/>
      <c r="F2" s="224"/>
      <c r="G2" s="224"/>
      <c r="H2" s="224"/>
      <c r="I2" s="224"/>
      <c r="J2" s="224"/>
      <c r="K2" s="224"/>
      <c r="L2" s="224"/>
      <c r="M2" s="224"/>
      <c r="N2" s="224"/>
      <c r="O2" s="224"/>
      <c r="P2" s="224"/>
      <c r="Q2" s="224"/>
      <c r="R2" s="224"/>
      <c r="S2" s="224"/>
      <c r="T2" s="224"/>
      <c r="U2" s="224"/>
      <c r="V2" s="224"/>
      <c r="W2" s="224"/>
      <c r="X2" s="225"/>
    </row>
    <row r="3" spans="1:25" ht="13.5" customHeight="1" x14ac:dyDescent="0.2">
      <c r="A3"/>
      <c r="B3"/>
      <c r="F3"/>
      <c r="G3"/>
      <c r="H3"/>
    </row>
    <row r="4" spans="1:25" ht="12.75" customHeight="1" x14ac:dyDescent="0.2">
      <c r="A4" s="235" t="s">
        <v>168</v>
      </c>
      <c r="B4" s="235"/>
      <c r="C4" s="235"/>
      <c r="D4" s="235"/>
      <c r="E4" s="235"/>
      <c r="F4" s="235"/>
      <c r="G4" s="235"/>
      <c r="H4" s="235"/>
      <c r="I4" s="235"/>
      <c r="J4" s="235"/>
      <c r="K4" s="235"/>
      <c r="L4" s="235"/>
      <c r="M4" s="235"/>
      <c r="N4" s="235"/>
      <c r="O4" s="235"/>
      <c r="P4" s="235"/>
      <c r="Q4" s="235"/>
      <c r="R4" s="235"/>
      <c r="S4" s="235"/>
      <c r="T4" s="235"/>
      <c r="U4" s="235"/>
      <c r="V4" s="235"/>
      <c r="W4" s="235"/>
      <c r="X4" s="235"/>
    </row>
    <row r="6" spans="1:25" s="5" customFormat="1" ht="24.95" customHeight="1" x14ac:dyDescent="0.2">
      <c r="A6" s="236" t="s">
        <v>179</v>
      </c>
      <c r="B6" s="237"/>
      <c r="C6" s="237"/>
      <c r="D6" s="237"/>
      <c r="E6" s="237"/>
      <c r="F6" s="237"/>
      <c r="G6" s="237"/>
      <c r="H6" s="237"/>
      <c r="I6" s="237"/>
      <c r="J6" s="237"/>
      <c r="K6" s="237"/>
      <c r="L6" s="237"/>
      <c r="M6" s="237"/>
      <c r="N6" s="237"/>
      <c r="O6" s="237"/>
      <c r="P6" s="237"/>
      <c r="Q6" s="237"/>
      <c r="R6" s="237"/>
      <c r="S6" s="237"/>
      <c r="T6" s="237"/>
      <c r="U6" s="237"/>
      <c r="V6" s="237"/>
      <c r="W6" s="237"/>
      <c r="X6" s="237"/>
    </row>
    <row r="7" spans="1:25" ht="12.75" customHeight="1" x14ac:dyDescent="0.2"/>
    <row r="8" spans="1:25" ht="12.75" customHeight="1" x14ac:dyDescent="0.2">
      <c r="A8" s="238" t="s">
        <v>23</v>
      </c>
      <c r="B8" s="238"/>
      <c r="C8" s="238"/>
      <c r="D8" s="238"/>
      <c r="E8" s="238"/>
      <c r="F8" s="238"/>
      <c r="G8" s="238"/>
      <c r="H8" s="238"/>
      <c r="I8" s="238"/>
      <c r="J8" s="238"/>
      <c r="K8" s="238"/>
      <c r="L8" s="238"/>
      <c r="M8" s="238"/>
      <c r="N8" s="238"/>
      <c r="O8" s="238"/>
      <c r="P8" s="238"/>
      <c r="Q8" s="238"/>
      <c r="R8" s="238"/>
      <c r="S8" s="238"/>
      <c r="T8" s="238"/>
      <c r="U8" s="238"/>
      <c r="V8" s="238"/>
      <c r="W8" s="238"/>
      <c r="X8" s="238"/>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0" t="s">
        <v>169</v>
      </c>
      <c r="B10" s="240"/>
      <c r="C10" s="240"/>
      <c r="D10" s="240"/>
      <c r="E10" s="240"/>
      <c r="F10" s="240"/>
      <c r="G10" s="240"/>
      <c r="H10" s="240"/>
      <c r="I10" s="240"/>
      <c r="J10" s="240"/>
      <c r="K10" s="240"/>
      <c r="L10" s="240"/>
      <c r="M10" s="240"/>
      <c r="N10" s="240"/>
      <c r="O10" s="240"/>
      <c r="P10" s="240"/>
      <c r="Q10" s="240"/>
      <c r="R10" s="240"/>
      <c r="S10" s="240"/>
      <c r="T10" s="240"/>
      <c r="U10" s="240"/>
      <c r="V10" s="240"/>
      <c r="W10" s="240"/>
      <c r="X10" s="240"/>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0" t="s">
        <v>1</v>
      </c>
      <c r="B12" s="240"/>
      <c r="C12" s="240"/>
      <c r="D12" s="240"/>
      <c r="E12" s="240"/>
      <c r="F12" s="240"/>
      <c r="G12" s="240"/>
      <c r="H12" s="240"/>
      <c r="I12" s="240"/>
      <c r="J12" s="240"/>
      <c r="K12" s="240"/>
      <c r="L12" s="240"/>
      <c r="M12" s="240"/>
      <c r="N12" s="240"/>
      <c r="O12" s="240"/>
      <c r="P12" s="240"/>
      <c r="Q12" s="240"/>
      <c r="R12" s="240"/>
      <c r="S12" s="240"/>
      <c r="T12" s="240"/>
      <c r="U12" s="240"/>
      <c r="V12" s="240"/>
      <c r="W12" s="240"/>
      <c r="X12" s="240"/>
    </row>
    <row r="14" spans="1:25" x14ac:dyDescent="0.2">
      <c r="A14" s="239" t="s">
        <v>24</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row>
    <row r="16" spans="1:25" x14ac:dyDescent="0.2">
      <c r="A16" s="209" t="s">
        <v>186</v>
      </c>
      <c r="B16" s="210"/>
      <c r="C16" s="210"/>
      <c r="D16" s="210"/>
      <c r="E16" s="210"/>
      <c r="F16" s="210"/>
      <c r="G16" s="210"/>
      <c r="H16" s="210"/>
      <c r="I16" s="210"/>
      <c r="J16" s="210"/>
      <c r="K16" s="210"/>
      <c r="L16" s="210"/>
      <c r="M16" s="210"/>
      <c r="N16" s="210"/>
      <c r="O16" s="210"/>
      <c r="P16" s="210"/>
      <c r="Q16" s="210"/>
      <c r="R16" s="210"/>
      <c r="S16" s="210"/>
      <c r="T16" s="210"/>
      <c r="U16" s="210"/>
      <c r="V16" s="210"/>
      <c r="W16" s="210"/>
      <c r="X16" s="210"/>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1" t="s">
        <v>187</v>
      </c>
      <c r="B18" s="211"/>
      <c r="C18" s="212"/>
      <c r="D18" s="212"/>
      <c r="E18" s="212"/>
      <c r="F18" s="212"/>
      <c r="G18" s="212"/>
      <c r="H18" s="212"/>
      <c r="I18" s="212"/>
      <c r="J18" s="212"/>
      <c r="K18" s="212"/>
      <c r="L18" s="212"/>
      <c r="M18" s="212"/>
      <c r="N18" s="212"/>
      <c r="O18" s="212"/>
      <c r="P18" s="212"/>
      <c r="Q18" s="212"/>
      <c r="R18" s="212"/>
      <c r="S18" s="212"/>
      <c r="T18" s="212"/>
      <c r="U18" s="212"/>
      <c r="V18" s="212"/>
      <c r="W18" s="212"/>
      <c r="X18" s="212"/>
    </row>
    <row r="21" spans="1:25" x14ac:dyDescent="0.2">
      <c r="A21"/>
    </row>
    <row r="22" spans="1:25" ht="12.75" customHeight="1" x14ac:dyDescent="0.2">
      <c r="A22" s="209" t="s">
        <v>189</v>
      </c>
      <c r="B22" s="210"/>
      <c r="C22" s="210"/>
      <c r="D22" s="210"/>
      <c r="E22" s="210"/>
      <c r="F22" s="210"/>
      <c r="G22" s="210"/>
      <c r="H22" s="210"/>
      <c r="I22" s="210"/>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1" t="s">
        <v>190</v>
      </c>
      <c r="B24" s="211"/>
      <c r="C24" s="212"/>
      <c r="D24" s="212"/>
      <c r="E24" s="212"/>
      <c r="F24" s="212"/>
      <c r="G24" s="212"/>
      <c r="H24" s="212"/>
      <c r="I24" s="212"/>
      <c r="J24" s="212"/>
      <c r="K24" s="212"/>
      <c r="L24" s="212"/>
      <c r="M24" s="212"/>
      <c r="N24" s="212"/>
      <c r="O24" s="212"/>
      <c r="P24" s="212"/>
      <c r="Q24" s="212"/>
      <c r="R24" s="212"/>
      <c r="S24" s="212"/>
      <c r="T24" s="212"/>
      <c r="U24" s="212"/>
      <c r="V24" s="212"/>
      <c r="W24" s="212"/>
      <c r="X24" s="212"/>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7" t="s">
        <v>191</v>
      </c>
      <c r="B26" s="207"/>
      <c r="C26" s="208"/>
      <c r="D26" s="208"/>
      <c r="E26" s="208"/>
      <c r="F26" s="208"/>
      <c r="G26" s="208"/>
      <c r="H26" s="208"/>
      <c r="I26" s="208"/>
      <c r="J26" s="208"/>
      <c r="K26" s="208"/>
      <c r="L26" s="208"/>
      <c r="M26" s="208"/>
      <c r="N26" s="208"/>
      <c r="O26" s="208"/>
      <c r="P26" s="208"/>
      <c r="Q26" s="208"/>
      <c r="R26" s="208"/>
      <c r="S26" s="208"/>
      <c r="T26" s="208"/>
      <c r="U26" s="208"/>
      <c r="V26" s="208"/>
      <c r="W26" s="208"/>
      <c r="X26" s="208"/>
    </row>
    <row r="27" spans="1:25" ht="6" customHeight="1" x14ac:dyDescent="0.2">
      <c r="A27" s="17"/>
      <c r="B27" s="17"/>
    </row>
    <row r="28" spans="1:25" ht="12.75" customHeight="1" x14ac:dyDescent="0.2">
      <c r="A28" s="205" t="s">
        <v>177</v>
      </c>
      <c r="B28" s="213"/>
      <c r="C28" s="205" t="s">
        <v>170</v>
      </c>
      <c r="D28" s="206"/>
      <c r="E28" s="213"/>
      <c r="F28" s="205" t="s">
        <v>171</v>
      </c>
      <c r="G28" s="206"/>
      <c r="H28" s="206"/>
      <c r="I28" s="213"/>
      <c r="J28" s="205" t="s">
        <v>172</v>
      </c>
      <c r="K28" s="206"/>
      <c r="L28" s="206"/>
      <c r="M28" s="206"/>
      <c r="N28" s="206"/>
      <c r="O28" s="213"/>
      <c r="P28" s="205" t="s">
        <v>0</v>
      </c>
      <c r="Q28" s="206"/>
      <c r="R28" s="206"/>
      <c r="S28" s="206"/>
      <c r="T28" s="206"/>
      <c r="U28" s="206"/>
      <c r="V28" s="206"/>
      <c r="W28" s="206"/>
      <c r="X28" s="213"/>
    </row>
    <row r="29" spans="1:25" ht="12.75" customHeight="1" x14ac:dyDescent="0.2">
      <c r="A29" s="200"/>
      <c r="B29" s="214"/>
      <c r="C29" s="200"/>
      <c r="D29" s="201"/>
      <c r="E29" s="202"/>
      <c r="F29" s="200"/>
      <c r="G29" s="269"/>
      <c r="H29" s="269"/>
      <c r="I29" s="214"/>
      <c r="J29" s="200" t="s">
        <v>229</v>
      </c>
      <c r="K29" s="269"/>
      <c r="L29" s="269"/>
      <c r="M29" s="269"/>
      <c r="N29" s="269"/>
      <c r="O29" s="214"/>
      <c r="P29" s="200" t="s">
        <v>253</v>
      </c>
      <c r="Q29" s="269"/>
      <c r="R29" s="269"/>
      <c r="S29" s="269"/>
      <c r="T29" s="269"/>
      <c r="U29" s="269"/>
      <c r="V29" s="269"/>
      <c r="W29" s="269"/>
      <c r="X29" s="214"/>
    </row>
    <row r="30" spans="1:25" ht="6" customHeight="1" x14ac:dyDescent="0.2">
      <c r="A30"/>
      <c r="B30"/>
      <c r="F30"/>
      <c r="G30"/>
      <c r="H30"/>
    </row>
    <row r="31" spans="1:25" x14ac:dyDescent="0.2">
      <c r="A31" s="205" t="s">
        <v>173</v>
      </c>
      <c r="B31" s="206"/>
      <c r="C31" s="206"/>
      <c r="D31" s="206"/>
      <c r="E31" s="206"/>
      <c r="F31" s="213"/>
      <c r="G31" s="205" t="s">
        <v>174</v>
      </c>
      <c r="H31" s="206"/>
      <c r="I31" s="206"/>
      <c r="J31" s="213"/>
      <c r="K31" s="205" t="s">
        <v>175</v>
      </c>
      <c r="L31" s="206"/>
      <c r="M31" s="206"/>
      <c r="N31" s="206"/>
      <c r="O31" s="206"/>
      <c r="P31" s="213"/>
      <c r="Q31" s="205" t="s">
        <v>180</v>
      </c>
      <c r="R31" s="206"/>
      <c r="S31" s="206"/>
      <c r="T31" s="206"/>
      <c r="U31" s="206"/>
      <c r="V31" s="206"/>
      <c r="W31" s="206"/>
      <c r="X31" s="213"/>
    </row>
    <row r="32" spans="1:25" x14ac:dyDescent="0.2">
      <c r="A32" s="241" t="s">
        <v>230</v>
      </c>
      <c r="B32" s="270"/>
      <c r="C32" s="270"/>
      <c r="D32" s="270"/>
      <c r="E32" s="270"/>
      <c r="F32" s="271"/>
      <c r="G32" s="200" t="s">
        <v>233</v>
      </c>
      <c r="H32" s="201"/>
      <c r="I32" s="201"/>
      <c r="J32" s="202"/>
      <c r="K32" s="200" t="s">
        <v>234</v>
      </c>
      <c r="L32" s="269"/>
      <c r="M32" s="269"/>
      <c r="N32" s="269"/>
      <c r="O32" s="269"/>
      <c r="P32" s="214"/>
      <c r="Q32" s="200" t="s">
        <v>268</v>
      </c>
      <c r="R32" s="269"/>
      <c r="S32" s="269"/>
      <c r="T32" s="269"/>
      <c r="U32" s="269"/>
      <c r="V32" s="269"/>
      <c r="W32" s="269"/>
      <c r="X32" s="214"/>
    </row>
    <row r="33" spans="1:24" ht="9" customHeight="1" x14ac:dyDescent="0.2"/>
    <row r="34" spans="1:24" s="19" customFormat="1" x14ac:dyDescent="0.2"/>
    <row r="35" spans="1:24" ht="12.75" customHeight="1" x14ac:dyDescent="0.2">
      <c r="A35" s="207" t="s">
        <v>192</v>
      </c>
      <c r="B35" s="207"/>
      <c r="C35" s="208"/>
      <c r="D35" s="208"/>
      <c r="E35" s="208"/>
      <c r="F35" s="208"/>
      <c r="G35" s="208"/>
      <c r="H35" s="208"/>
      <c r="I35" s="208"/>
      <c r="J35" s="208"/>
      <c r="K35" s="208"/>
      <c r="L35" s="208"/>
      <c r="M35" s="208"/>
      <c r="N35" s="208"/>
      <c r="O35" s="208"/>
      <c r="P35" s="208"/>
      <c r="Q35" s="208"/>
      <c r="R35" s="208"/>
      <c r="S35" s="208"/>
      <c r="T35" s="208"/>
      <c r="U35" s="208"/>
      <c r="V35" s="208"/>
      <c r="W35" s="208"/>
      <c r="X35" s="208"/>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13"/>
      <c r="C37" s="78" t="s">
        <v>91</v>
      </c>
      <c r="D37" s="205" t="s">
        <v>14</v>
      </c>
      <c r="E37" s="206"/>
      <c r="F37" s="213"/>
      <c r="G37" s="205" t="s">
        <v>12</v>
      </c>
      <c r="H37" s="206"/>
      <c r="I37" s="206"/>
      <c r="J37" s="206"/>
      <c r="K37" s="206"/>
      <c r="L37" s="206"/>
      <c r="M37" s="206"/>
      <c r="N37" s="206"/>
      <c r="O37" s="206"/>
      <c r="P37" s="206"/>
      <c r="Q37" s="206"/>
      <c r="R37" s="206"/>
      <c r="S37" s="213"/>
      <c r="T37" s="79" t="s">
        <v>7</v>
      </c>
      <c r="U37" s="79" t="s">
        <v>8</v>
      </c>
      <c r="V37" s="79" t="s">
        <v>9</v>
      </c>
      <c r="W37" s="79" t="s">
        <v>10</v>
      </c>
      <c r="X37" s="79" t="s">
        <v>11</v>
      </c>
    </row>
    <row r="38" spans="1:24" ht="12.75" customHeight="1" x14ac:dyDescent="0.2">
      <c r="A38" s="218">
        <v>45778</v>
      </c>
      <c r="B38" s="219"/>
      <c r="C38" s="77" t="s">
        <v>235</v>
      </c>
      <c r="D38" s="200" t="s">
        <v>78</v>
      </c>
      <c r="E38" s="201"/>
      <c r="F38" s="202"/>
      <c r="G38" s="200" t="s">
        <v>254</v>
      </c>
      <c r="H38" s="201"/>
      <c r="I38" s="201"/>
      <c r="J38" s="201"/>
      <c r="K38" s="201"/>
      <c r="L38" s="201"/>
      <c r="M38" s="201"/>
      <c r="N38" s="201"/>
      <c r="O38" s="201"/>
      <c r="P38" s="201"/>
      <c r="Q38" s="201"/>
      <c r="R38" s="201"/>
      <c r="S38" s="202"/>
      <c r="T38" s="80">
        <f ca="1">IF(ISERROR(INDIRECT("'BDI ("&amp;RIGHT(T37,1)&amp;")'!N27")),"",INDIRECT("'BDI ("&amp;RIGHT(T37,1)&amp;")'!N27"))</f>
        <v>0.21859999999999999</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7" t="s">
        <v>162</v>
      </c>
      <c r="B40" s="207"/>
      <c r="C40" s="208"/>
      <c r="D40" s="208"/>
      <c r="E40" s="208"/>
      <c r="F40" s="208"/>
      <c r="G40" s="208"/>
      <c r="H40" s="208"/>
      <c r="I40" s="208"/>
      <c r="J40" s="208"/>
      <c r="K40" s="208"/>
      <c r="L40" s="208"/>
      <c r="M40" s="208"/>
      <c r="N40" s="208"/>
      <c r="O40" s="208"/>
      <c r="P40" s="208"/>
      <c r="Q40" s="208"/>
      <c r="R40" s="208"/>
      <c r="S40" s="208"/>
      <c r="T40" s="208"/>
      <c r="U40" s="208"/>
      <c r="V40" s="208"/>
      <c r="W40" s="208"/>
      <c r="X40" s="208"/>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13"/>
      <c r="C42" s="205" t="s">
        <v>111</v>
      </c>
      <c r="D42" s="206"/>
      <c r="E42" s="206"/>
      <c r="F42" s="206"/>
      <c r="G42" s="206"/>
      <c r="H42" s="205" t="s">
        <v>16</v>
      </c>
      <c r="I42" s="206"/>
      <c r="J42" s="20" t="s">
        <v>91</v>
      </c>
      <c r="K42" s="205" t="s">
        <v>88</v>
      </c>
      <c r="L42" s="206"/>
      <c r="M42" s="213"/>
      <c r="N42" s="20" t="s">
        <v>92</v>
      </c>
      <c r="O42" s="205" t="s">
        <v>93</v>
      </c>
      <c r="P42" s="206"/>
      <c r="Q42" s="206"/>
      <c r="R42" s="206"/>
      <c r="S42" s="206"/>
      <c r="T42" s="213"/>
      <c r="U42" s="220" t="s">
        <v>89</v>
      </c>
      <c r="V42" s="221"/>
      <c r="W42" s="220" t="s">
        <v>90</v>
      </c>
      <c r="X42" s="221"/>
    </row>
    <row r="43" spans="1:24" ht="12.75" customHeight="1" x14ac:dyDescent="0.2">
      <c r="A43" s="241"/>
      <c r="B43" s="242"/>
      <c r="C43" s="200"/>
      <c r="D43" s="201"/>
      <c r="E43" s="201"/>
      <c r="F43" s="201"/>
      <c r="G43" s="201"/>
      <c r="H43" s="218"/>
      <c r="I43" s="219"/>
      <c r="J43" s="74"/>
      <c r="K43" s="272"/>
      <c r="L43" s="273"/>
      <c r="M43" s="274"/>
      <c r="N43" s="89"/>
      <c r="O43" s="230"/>
      <c r="P43" s="231"/>
      <c r="Q43" s="231"/>
      <c r="R43" s="232"/>
      <c r="S43" s="232"/>
      <c r="T43" s="233"/>
      <c r="U43" s="228"/>
      <c r="V43" s="234"/>
      <c r="W43" s="228"/>
      <c r="X43" s="229"/>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7" t="s">
        <v>193</v>
      </c>
      <c r="B45" s="207"/>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3">
        <v>45658</v>
      </c>
      <c r="B48" s="254"/>
      <c r="C48" s="255"/>
      <c r="E48" s="29"/>
      <c r="F48"/>
      <c r="G48"/>
      <c r="H48"/>
    </row>
    <row r="49" spans="1:24" x14ac:dyDescent="0.2">
      <c r="F49" s="25"/>
      <c r="G49" s="26"/>
      <c r="H49" s="27"/>
    </row>
    <row r="50" spans="1:24" x14ac:dyDescent="0.2">
      <c r="A50" s="207" t="s">
        <v>194</v>
      </c>
      <c r="B50" s="207"/>
      <c r="C50" s="208"/>
      <c r="D50" s="208"/>
      <c r="E50" s="208"/>
      <c r="F50" s="208"/>
      <c r="G50" s="208"/>
      <c r="H50" s="208"/>
      <c r="I50" s="208"/>
      <c r="J50" s="208"/>
      <c r="K50" s="208"/>
      <c r="L50" s="208"/>
      <c r="M50" s="208"/>
      <c r="N50" s="208"/>
      <c r="O50" s="208"/>
      <c r="P50" s="208"/>
      <c r="Q50" s="208"/>
      <c r="R50" s="208"/>
      <c r="S50" s="208"/>
      <c r="T50" s="208"/>
      <c r="U50" s="208"/>
      <c r="V50" s="208"/>
      <c r="W50" s="208"/>
      <c r="X50" s="208"/>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246</v>
      </c>
      <c r="L52" s="24"/>
    </row>
    <row r="53" spans="1:24" x14ac:dyDescent="0.2">
      <c r="A53" s="30"/>
      <c r="B53" s="30"/>
      <c r="C53" s="31"/>
      <c r="D53" s="31"/>
      <c r="E53" s="31"/>
      <c r="F53" s="25"/>
      <c r="G53" s="30"/>
      <c r="H53" s="30"/>
      <c r="I53" s="31"/>
      <c r="J53" s="31"/>
      <c r="K53" s="31"/>
    </row>
    <row r="54" spans="1:24" x14ac:dyDescent="0.2">
      <c r="A54" s="86" t="s">
        <v>140</v>
      </c>
      <c r="B54" s="256"/>
      <c r="C54" s="257"/>
      <c r="D54" s="257"/>
      <c r="E54" s="257"/>
      <c r="F54" s="25"/>
      <c r="G54" s="86" t="s">
        <v>140</v>
      </c>
      <c r="H54" s="256"/>
      <c r="I54" s="257"/>
      <c r="J54" s="257"/>
      <c r="K54" s="257"/>
    </row>
    <row r="55" spans="1:24" x14ac:dyDescent="0.2">
      <c r="A55" s="86" t="str">
        <f>IF(OR(TipoOrçamento="BASE",TipoOrçamento="REPROGRAMADONPL"),"Título:","Cargo:")</f>
        <v>Cargo:</v>
      </c>
      <c r="B55" s="256"/>
      <c r="C55" s="257"/>
      <c r="D55" s="257"/>
      <c r="E55" s="257"/>
      <c r="F55" s="25"/>
      <c r="G55" s="86" t="str">
        <f>A55</f>
        <v>Cargo:</v>
      </c>
      <c r="H55" s="256"/>
      <c r="I55" s="257"/>
      <c r="J55" s="257"/>
      <c r="K55" s="257"/>
    </row>
    <row r="56" spans="1:24" x14ac:dyDescent="0.2">
      <c r="A56" s="86" t="str">
        <f>IF(OR(TipoOrçamento="BASE",TipoOrçamento="REPROGRAMADONPL"),"CREA/CAU:","Empresa:")</f>
        <v>Empresa:</v>
      </c>
      <c r="B56" s="226"/>
      <c r="C56" s="227"/>
      <c r="D56" s="227"/>
      <c r="E56" s="227"/>
      <c r="F56" s="25"/>
      <c r="G56" s="86" t="str">
        <f>A56</f>
        <v>Empresa:</v>
      </c>
      <c r="H56" s="226"/>
      <c r="I56" s="227"/>
      <c r="J56" s="227"/>
      <c r="K56" s="227"/>
    </row>
    <row r="57" spans="1:24" x14ac:dyDescent="0.2">
      <c r="A57" s="86" t="str">
        <f>IF(OR(TipoOrçamento="BASE",TipoOrçamento="REPROGRAMADONPL"),"ART/RRT:","CNPJ:")</f>
        <v>CNPJ:</v>
      </c>
      <c r="B57" s="226"/>
      <c r="C57" s="227"/>
      <c r="D57" s="227"/>
      <c r="E57" s="227"/>
      <c r="F57" s="25"/>
      <c r="G57" s="86" t="str">
        <f>A57</f>
        <v>CNPJ:</v>
      </c>
      <c r="H57" s="227"/>
      <c r="I57" s="227"/>
      <c r="J57" s="227"/>
      <c r="K57" s="227"/>
    </row>
    <row r="58" spans="1:24" x14ac:dyDescent="0.2">
      <c r="F58" s="25"/>
      <c r="G58" s="26"/>
      <c r="H58" s="27"/>
    </row>
    <row r="59" spans="1:24" x14ac:dyDescent="0.2">
      <c r="F59" s="25"/>
      <c r="G59" s="26"/>
      <c r="H59" s="27"/>
    </row>
    <row r="60" spans="1:24" ht="12.75" customHeight="1" x14ac:dyDescent="0.2">
      <c r="A60" s="211" t="s">
        <v>195</v>
      </c>
      <c r="B60" s="211"/>
      <c r="C60" s="212"/>
      <c r="D60" s="212"/>
      <c r="E60" s="212"/>
      <c r="F60" s="212"/>
      <c r="G60" s="212"/>
      <c r="H60" s="212"/>
      <c r="I60" s="212"/>
      <c r="J60" s="212"/>
      <c r="K60" s="212"/>
      <c r="L60" s="212"/>
      <c r="M60" s="212"/>
      <c r="N60" s="212"/>
      <c r="O60" s="212"/>
      <c r="P60" s="212"/>
      <c r="Q60" s="212"/>
      <c r="R60" s="212"/>
      <c r="S60" s="212"/>
      <c r="T60" s="212"/>
      <c r="U60" s="212"/>
      <c r="V60" s="212"/>
      <c r="W60" s="212"/>
      <c r="X60" s="212"/>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5" t="s">
        <v>196</v>
      </c>
      <c r="B62" s="216"/>
      <c r="C62" s="217"/>
      <c r="D62" s="217"/>
      <c r="E62" s="217"/>
      <c r="F62" s="217"/>
      <c r="G62" s="217"/>
      <c r="H62" s="217"/>
      <c r="I62" s="217"/>
      <c r="J62" s="217"/>
      <c r="K62" s="217"/>
      <c r="L62" s="217"/>
      <c r="M62" s="217"/>
      <c r="N62" s="217"/>
      <c r="O62" s="217"/>
      <c r="P62" s="217"/>
      <c r="Q62" s="217"/>
      <c r="R62" s="217"/>
      <c r="S62" s="217"/>
      <c r="T62" s="217"/>
      <c r="U62" s="217"/>
      <c r="V62" s="217"/>
      <c r="W62" s="217"/>
      <c r="X62" s="217"/>
    </row>
    <row r="63" spans="1:24" ht="30" customHeight="1" x14ac:dyDescent="0.2">
      <c r="A63" s="215" t="s">
        <v>197</v>
      </c>
      <c r="B63" s="215"/>
      <c r="C63" s="258"/>
      <c r="D63" s="258"/>
      <c r="E63" s="258"/>
      <c r="F63" s="258"/>
      <c r="G63" s="258"/>
      <c r="H63" s="258"/>
      <c r="I63" s="258"/>
      <c r="J63" s="258"/>
      <c r="K63" s="258"/>
      <c r="L63" s="258"/>
      <c r="M63" s="258"/>
      <c r="N63" s="258"/>
      <c r="O63" s="258"/>
      <c r="P63" s="258"/>
      <c r="Q63" s="258"/>
      <c r="R63" s="258"/>
      <c r="S63" s="258"/>
      <c r="T63" s="258"/>
      <c r="U63" s="258"/>
      <c r="V63" s="258"/>
      <c r="W63" s="258"/>
      <c r="X63" s="258"/>
    </row>
    <row r="64" spans="1:24" x14ac:dyDescent="0.2">
      <c r="F64" s="25"/>
      <c r="G64" s="26"/>
      <c r="H64" s="27"/>
    </row>
    <row r="65" spans="1:24" ht="12.75" customHeight="1" x14ac:dyDescent="0.2">
      <c r="A65" s="211" t="s">
        <v>198</v>
      </c>
      <c r="B65" s="211"/>
      <c r="C65" s="212"/>
      <c r="D65" s="212"/>
      <c r="E65" s="212"/>
      <c r="F65" s="212"/>
      <c r="G65" s="212"/>
      <c r="H65" s="212"/>
      <c r="I65" s="212"/>
      <c r="J65" s="212"/>
      <c r="K65" s="212"/>
      <c r="L65" s="212"/>
      <c r="M65" s="212"/>
      <c r="N65" s="212"/>
      <c r="O65" s="212"/>
      <c r="P65" s="212"/>
      <c r="Q65" s="212"/>
      <c r="R65" s="212"/>
      <c r="S65" s="212"/>
      <c r="T65" s="212"/>
      <c r="U65" s="212"/>
      <c r="V65" s="212"/>
      <c r="W65" s="212"/>
      <c r="X65" s="212"/>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7" t="s">
        <v>199</v>
      </c>
      <c r="B67" s="207"/>
      <c r="C67" s="208"/>
      <c r="D67" s="208"/>
      <c r="E67" s="208"/>
      <c r="F67" s="208"/>
      <c r="G67" s="208"/>
      <c r="H67" s="208"/>
      <c r="I67" s="208"/>
      <c r="J67" s="208"/>
      <c r="K67" s="208"/>
      <c r="L67" s="208"/>
      <c r="M67" s="208"/>
      <c r="N67" s="208"/>
      <c r="O67" s="208"/>
      <c r="P67" s="208"/>
      <c r="Q67" s="208"/>
      <c r="R67" s="208"/>
      <c r="S67" s="208"/>
      <c r="T67" s="208"/>
      <c r="U67" s="208"/>
      <c r="V67" s="208"/>
      <c r="W67" s="208"/>
      <c r="X67" s="208"/>
    </row>
    <row r="68" spans="1:24" x14ac:dyDescent="0.2">
      <c r="A68" s="207" t="s">
        <v>200</v>
      </c>
      <c r="B68" s="207"/>
      <c r="C68" s="208"/>
      <c r="D68" s="208"/>
      <c r="E68" s="208"/>
      <c r="F68" s="208"/>
      <c r="G68" s="208"/>
      <c r="H68" s="208"/>
      <c r="I68" s="208"/>
      <c r="J68" s="208"/>
      <c r="K68" s="208"/>
      <c r="L68" s="208"/>
      <c r="M68" s="208"/>
      <c r="N68" s="208"/>
      <c r="O68" s="208"/>
      <c r="P68" s="208"/>
      <c r="Q68" s="208"/>
      <c r="R68" s="208"/>
      <c r="S68" s="208"/>
      <c r="T68" s="208"/>
      <c r="U68" s="208"/>
      <c r="V68" s="208"/>
      <c r="W68" s="208"/>
      <c r="X68" s="208"/>
    </row>
    <row r="69" spans="1:24" ht="12.75" customHeight="1" x14ac:dyDescent="0.2">
      <c r="A69" s="207" t="s">
        <v>201</v>
      </c>
      <c r="B69" s="207"/>
      <c r="C69" s="208"/>
      <c r="D69" s="208"/>
      <c r="E69" s="208"/>
      <c r="F69" s="208"/>
      <c r="G69" s="208"/>
      <c r="H69" s="208"/>
      <c r="I69" s="208"/>
      <c r="J69" s="208"/>
      <c r="K69" s="208"/>
      <c r="L69" s="208"/>
      <c r="M69" s="208"/>
      <c r="N69" s="208"/>
      <c r="O69" s="208"/>
      <c r="P69" s="208"/>
      <c r="Q69" s="208"/>
      <c r="R69" s="208"/>
      <c r="S69" s="208"/>
      <c r="T69" s="208"/>
      <c r="U69" s="208"/>
      <c r="V69" s="208"/>
      <c r="W69" s="208"/>
      <c r="X69" s="208"/>
    </row>
    <row r="70" spans="1:24" ht="12.75" customHeight="1" x14ac:dyDescent="0.2">
      <c r="A70" s="207" t="s">
        <v>202</v>
      </c>
      <c r="B70" s="207"/>
      <c r="C70" s="208"/>
      <c r="D70" s="208"/>
      <c r="E70" s="208"/>
      <c r="F70" s="208"/>
      <c r="G70" s="208"/>
      <c r="H70" s="208"/>
      <c r="I70" s="208"/>
      <c r="J70" s="208"/>
      <c r="K70" s="208"/>
      <c r="L70" s="208"/>
      <c r="M70" s="208"/>
      <c r="N70" s="208"/>
      <c r="O70" s="208"/>
      <c r="P70" s="208"/>
      <c r="Q70" s="208"/>
      <c r="R70" s="208"/>
      <c r="S70" s="208"/>
      <c r="T70" s="208"/>
      <c r="U70" s="208"/>
      <c r="V70" s="208"/>
      <c r="W70" s="208"/>
      <c r="X70" s="208"/>
    </row>
    <row r="71" spans="1:24" ht="12.75" customHeight="1" x14ac:dyDescent="0.2">
      <c r="A71" s="207" t="s">
        <v>203</v>
      </c>
      <c r="B71" s="207"/>
      <c r="C71" s="208"/>
      <c r="D71" s="208"/>
      <c r="E71" s="208"/>
      <c r="F71" s="208"/>
      <c r="G71" s="208"/>
      <c r="H71" s="208"/>
      <c r="I71" s="208"/>
      <c r="J71" s="208"/>
      <c r="K71" s="208"/>
      <c r="L71" s="208"/>
      <c r="M71" s="208"/>
      <c r="N71" s="208"/>
      <c r="O71" s="208"/>
      <c r="P71" s="208"/>
      <c r="Q71" s="208"/>
      <c r="R71" s="208"/>
      <c r="S71" s="208"/>
      <c r="T71" s="208"/>
      <c r="U71" s="208"/>
      <c r="V71" s="208"/>
      <c r="W71" s="208"/>
      <c r="X71" s="208"/>
    </row>
    <row r="72" spans="1:24" ht="12.75" customHeight="1" x14ac:dyDescent="0.2">
      <c r="A72" s="207" t="s">
        <v>204</v>
      </c>
      <c r="B72" s="207"/>
      <c r="C72" s="208"/>
      <c r="D72" s="208"/>
      <c r="E72" s="208"/>
      <c r="F72" s="208"/>
      <c r="G72" s="208"/>
      <c r="H72" s="208"/>
      <c r="I72" s="208"/>
      <c r="J72" s="208"/>
      <c r="K72" s="208"/>
      <c r="L72" s="208"/>
      <c r="M72" s="208"/>
      <c r="N72" s="208"/>
      <c r="O72" s="208"/>
      <c r="P72" s="208"/>
      <c r="Q72" s="208"/>
      <c r="R72" s="208"/>
      <c r="S72" s="208"/>
      <c r="T72" s="208"/>
      <c r="U72" s="208"/>
      <c r="V72" s="208"/>
      <c r="W72" s="208"/>
      <c r="X72" s="208"/>
    </row>
    <row r="73" spans="1:24" x14ac:dyDescent="0.2">
      <c r="F73" s="25"/>
      <c r="G73" s="26"/>
      <c r="H73" s="27"/>
    </row>
    <row r="74" spans="1:24" ht="12.75" customHeight="1" x14ac:dyDescent="0.2">
      <c r="A74" s="211" t="s">
        <v>205</v>
      </c>
      <c r="B74" s="211"/>
      <c r="C74" s="212"/>
      <c r="D74" s="212"/>
      <c r="E74" s="212"/>
      <c r="F74" s="212"/>
      <c r="G74" s="212"/>
      <c r="H74" s="212"/>
      <c r="I74" s="212"/>
      <c r="J74" s="212"/>
      <c r="K74" s="212"/>
      <c r="L74" s="212"/>
      <c r="M74" s="212"/>
      <c r="N74" s="212"/>
      <c r="O74" s="212"/>
      <c r="P74" s="212"/>
      <c r="Q74" s="212"/>
      <c r="R74" s="212"/>
      <c r="S74" s="212"/>
      <c r="T74" s="212"/>
      <c r="U74" s="212"/>
      <c r="V74" s="212"/>
      <c r="W74" s="212"/>
      <c r="X74" s="212"/>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7" t="s">
        <v>206</v>
      </c>
      <c r="B76" s="207"/>
      <c r="C76" s="208"/>
      <c r="D76" s="208"/>
      <c r="E76" s="208"/>
      <c r="F76" s="208"/>
      <c r="G76" s="208"/>
      <c r="H76" s="208"/>
      <c r="I76" s="208"/>
      <c r="J76" s="208"/>
      <c r="K76" s="208"/>
      <c r="L76" s="208"/>
      <c r="M76" s="208"/>
      <c r="N76" s="208"/>
      <c r="O76" s="208"/>
      <c r="P76" s="208"/>
      <c r="Q76" s="208"/>
      <c r="R76" s="208"/>
      <c r="S76" s="208"/>
      <c r="T76" s="208"/>
      <c r="U76" s="208"/>
      <c r="V76" s="208"/>
      <c r="W76" s="208"/>
      <c r="X76" s="208"/>
    </row>
    <row r="77" spans="1:24" ht="26.1" customHeight="1" x14ac:dyDescent="0.2">
      <c r="A77" s="203" t="s">
        <v>207</v>
      </c>
      <c r="B77" s="203"/>
      <c r="C77" s="204"/>
      <c r="D77" s="204"/>
      <c r="E77" s="204"/>
      <c r="F77" s="204"/>
      <c r="G77" s="204"/>
      <c r="H77" s="204"/>
      <c r="I77" s="204"/>
      <c r="J77" s="204"/>
      <c r="K77" s="204"/>
      <c r="L77" s="204"/>
      <c r="M77" s="204"/>
      <c r="N77" s="204"/>
      <c r="O77" s="204"/>
      <c r="P77" s="204"/>
      <c r="Q77" s="204"/>
      <c r="R77" s="204"/>
      <c r="S77" s="204"/>
      <c r="T77" s="204"/>
      <c r="U77" s="204"/>
      <c r="V77" s="204"/>
      <c r="W77" s="204"/>
      <c r="X77" s="204"/>
    </row>
    <row r="78" spans="1:24" ht="12.75" customHeight="1" x14ac:dyDescent="0.2">
      <c r="A78" s="207" t="s">
        <v>208</v>
      </c>
      <c r="B78" s="207"/>
      <c r="C78" s="208"/>
      <c r="D78" s="208"/>
      <c r="E78" s="208"/>
      <c r="F78" s="208"/>
      <c r="G78" s="208"/>
      <c r="H78" s="208"/>
      <c r="I78" s="208"/>
      <c r="J78" s="208"/>
      <c r="K78" s="208"/>
      <c r="L78" s="208"/>
      <c r="M78" s="208"/>
      <c r="N78" s="208"/>
      <c r="O78" s="208"/>
      <c r="P78" s="208"/>
      <c r="Q78" s="208"/>
      <c r="R78" s="208"/>
      <c r="S78" s="208"/>
      <c r="T78" s="208"/>
      <c r="U78" s="208"/>
      <c r="V78" s="208"/>
      <c r="W78" s="208"/>
      <c r="X78" s="208"/>
    </row>
    <row r="79" spans="1:24" ht="25.5" customHeight="1" x14ac:dyDescent="0.2">
      <c r="A79" s="207" t="s">
        <v>209</v>
      </c>
      <c r="B79" s="207"/>
      <c r="C79" s="208"/>
      <c r="D79" s="208"/>
      <c r="E79" s="208"/>
      <c r="F79" s="208"/>
      <c r="G79" s="208"/>
      <c r="H79" s="208"/>
      <c r="I79" s="208"/>
      <c r="J79" s="208"/>
      <c r="K79" s="208"/>
      <c r="L79" s="208"/>
      <c r="M79" s="208"/>
      <c r="N79" s="208"/>
      <c r="O79" s="208"/>
      <c r="P79" s="208"/>
      <c r="Q79" s="208"/>
      <c r="R79" s="208"/>
      <c r="S79" s="208"/>
      <c r="T79" s="208"/>
      <c r="U79" s="208"/>
      <c r="V79" s="208"/>
      <c r="W79" s="208"/>
      <c r="X79" s="208"/>
    </row>
    <row r="80" spans="1:24" x14ac:dyDescent="0.2">
      <c r="A80" s="203" t="s">
        <v>210</v>
      </c>
      <c r="B80" s="203"/>
      <c r="C80" s="204"/>
      <c r="D80" s="204"/>
      <c r="E80" s="204"/>
      <c r="F80" s="204"/>
      <c r="G80" s="204"/>
      <c r="H80" s="204"/>
      <c r="I80" s="204"/>
      <c r="J80" s="204"/>
      <c r="K80" s="204"/>
      <c r="L80" s="204"/>
      <c r="M80" s="204"/>
      <c r="N80" s="204"/>
      <c r="O80" s="204"/>
      <c r="P80" s="204"/>
      <c r="Q80" s="204"/>
      <c r="R80" s="204"/>
      <c r="S80" s="204"/>
      <c r="T80" s="204"/>
      <c r="U80" s="204"/>
      <c r="V80" s="204"/>
      <c r="W80" s="204"/>
      <c r="X80" s="204"/>
    </row>
    <row r="81" spans="1:24" ht="12.75" customHeight="1" x14ac:dyDescent="0.2">
      <c r="A81" s="207" t="s">
        <v>211</v>
      </c>
      <c r="B81" s="207"/>
      <c r="C81" s="208"/>
      <c r="D81" s="208"/>
      <c r="E81" s="208"/>
      <c r="F81" s="208"/>
      <c r="G81" s="208"/>
      <c r="H81" s="208"/>
      <c r="I81" s="208"/>
      <c r="J81" s="208"/>
      <c r="K81" s="208"/>
      <c r="L81" s="208"/>
      <c r="M81" s="208"/>
      <c r="N81" s="208"/>
      <c r="O81" s="208"/>
      <c r="P81" s="208"/>
      <c r="Q81" s="208"/>
      <c r="R81" s="208"/>
      <c r="S81" s="208"/>
      <c r="T81" s="208"/>
      <c r="U81" s="208"/>
      <c r="V81" s="208"/>
      <c r="W81" s="208"/>
      <c r="X81" s="208"/>
    </row>
    <row r="82" spans="1:24" ht="26.1" customHeight="1" x14ac:dyDescent="0.2">
      <c r="A82" s="207" t="s">
        <v>212</v>
      </c>
      <c r="B82" s="207"/>
      <c r="C82" s="208"/>
      <c r="D82" s="208"/>
      <c r="E82" s="208"/>
      <c r="F82" s="208"/>
      <c r="G82" s="208"/>
      <c r="H82" s="208"/>
      <c r="I82" s="208"/>
      <c r="J82" s="208"/>
      <c r="K82" s="208"/>
      <c r="L82" s="208"/>
      <c r="M82" s="208"/>
      <c r="N82" s="208"/>
      <c r="O82" s="208"/>
      <c r="P82" s="208"/>
      <c r="Q82" s="208"/>
      <c r="R82" s="208"/>
      <c r="S82" s="208"/>
      <c r="T82" s="208"/>
      <c r="U82" s="208"/>
      <c r="V82" s="208"/>
      <c r="W82" s="208"/>
      <c r="X82" s="208"/>
    </row>
    <row r="83" spans="1:24" ht="26.1" customHeight="1" x14ac:dyDescent="0.2">
      <c r="A83" s="207" t="s">
        <v>213</v>
      </c>
      <c r="B83" s="207"/>
      <c r="C83" s="208"/>
      <c r="D83" s="208"/>
      <c r="E83" s="208"/>
      <c r="F83" s="208"/>
      <c r="G83" s="208"/>
      <c r="H83" s="208"/>
      <c r="I83" s="208"/>
      <c r="J83" s="208"/>
      <c r="K83" s="208"/>
      <c r="L83" s="208"/>
      <c r="M83" s="208"/>
      <c r="N83" s="208"/>
      <c r="O83" s="208"/>
      <c r="P83" s="208"/>
      <c r="Q83" s="208"/>
      <c r="R83" s="208"/>
      <c r="S83" s="208"/>
      <c r="T83" s="208"/>
      <c r="U83" s="208"/>
      <c r="V83" s="208"/>
      <c r="W83" s="208"/>
      <c r="X83" s="208"/>
    </row>
    <row r="84" spans="1:24" ht="12.75" customHeight="1" x14ac:dyDescent="0.2">
      <c r="A84" s="207" t="s">
        <v>214</v>
      </c>
      <c r="B84" s="207"/>
      <c r="C84" s="208"/>
      <c r="D84" s="208"/>
      <c r="E84" s="208"/>
      <c r="F84" s="208"/>
      <c r="G84" s="208"/>
      <c r="H84" s="208"/>
      <c r="I84" s="208"/>
      <c r="J84" s="208"/>
      <c r="K84" s="208"/>
      <c r="L84" s="208"/>
      <c r="M84" s="208"/>
      <c r="N84" s="208"/>
      <c r="O84" s="208"/>
      <c r="P84" s="208"/>
      <c r="Q84" s="208"/>
      <c r="R84" s="208"/>
      <c r="S84" s="208"/>
      <c r="T84" s="208"/>
      <c r="U84" s="208"/>
      <c r="V84" s="208"/>
      <c r="W84" s="208"/>
      <c r="X84" s="208"/>
    </row>
    <row r="85" spans="1:24" x14ac:dyDescent="0.2">
      <c r="A85" s="207" t="s">
        <v>215</v>
      </c>
      <c r="B85" s="207"/>
      <c r="C85" s="208"/>
      <c r="D85" s="208"/>
      <c r="E85" s="208"/>
      <c r="F85" s="208"/>
      <c r="G85" s="208"/>
      <c r="H85" s="208"/>
      <c r="I85" s="208"/>
      <c r="J85" s="208"/>
      <c r="K85" s="208"/>
      <c r="L85" s="208"/>
      <c r="M85" s="208"/>
      <c r="N85" s="208"/>
      <c r="O85" s="208"/>
      <c r="P85" s="208"/>
      <c r="Q85" s="208"/>
      <c r="R85" s="208"/>
      <c r="S85" s="208"/>
      <c r="T85" s="208"/>
      <c r="U85" s="208"/>
      <c r="V85" s="208"/>
      <c r="W85" s="208"/>
      <c r="X85" s="208"/>
    </row>
    <row r="86" spans="1:24" ht="12.75" customHeight="1" x14ac:dyDescent="0.2">
      <c r="A86" s="203" t="s">
        <v>216</v>
      </c>
      <c r="B86" s="203"/>
      <c r="C86" s="204"/>
      <c r="D86" s="204"/>
      <c r="E86" s="204"/>
      <c r="F86" s="204"/>
      <c r="G86" s="204"/>
      <c r="H86" s="204"/>
      <c r="I86" s="204"/>
      <c r="J86" s="204"/>
      <c r="K86" s="204"/>
      <c r="L86" s="204"/>
      <c r="M86" s="204"/>
      <c r="N86" s="204"/>
      <c r="O86" s="204"/>
      <c r="P86" s="204"/>
      <c r="Q86" s="204"/>
      <c r="R86" s="204"/>
      <c r="S86" s="204"/>
      <c r="T86" s="204"/>
      <c r="U86" s="204"/>
      <c r="V86" s="204"/>
      <c r="W86" s="204"/>
      <c r="X86" s="204"/>
    </row>
    <row r="87" spans="1:24" x14ac:dyDescent="0.2">
      <c r="A87" s="207" t="s">
        <v>217</v>
      </c>
      <c r="B87" s="207"/>
      <c r="C87" s="208"/>
      <c r="D87" s="208"/>
      <c r="E87" s="208"/>
      <c r="F87" s="208"/>
      <c r="G87" s="208"/>
      <c r="H87" s="208"/>
      <c r="I87" s="208"/>
      <c r="J87" s="208"/>
      <c r="K87" s="208"/>
      <c r="L87" s="208"/>
      <c r="M87" s="208"/>
      <c r="N87" s="208"/>
      <c r="O87" s="208"/>
      <c r="P87" s="208"/>
      <c r="Q87" s="208"/>
      <c r="R87" s="208"/>
      <c r="S87" s="208"/>
      <c r="T87" s="208"/>
      <c r="U87" s="208"/>
      <c r="V87" s="208"/>
      <c r="W87" s="208"/>
      <c r="X87" s="208"/>
    </row>
    <row r="88" spans="1:24" x14ac:dyDescent="0.2">
      <c r="A88" s="207" t="s">
        <v>218</v>
      </c>
      <c r="B88" s="207"/>
      <c r="C88" s="208"/>
      <c r="D88" s="208"/>
      <c r="E88" s="208"/>
      <c r="F88" s="208"/>
      <c r="G88" s="208"/>
      <c r="H88" s="208"/>
      <c r="I88" s="208"/>
      <c r="J88" s="208"/>
      <c r="K88" s="208"/>
      <c r="L88" s="208"/>
      <c r="M88" s="208"/>
      <c r="N88" s="208"/>
      <c r="O88" s="208"/>
      <c r="P88" s="208"/>
      <c r="Q88" s="208"/>
      <c r="R88" s="208"/>
      <c r="S88" s="208"/>
      <c r="T88" s="208"/>
      <c r="U88" s="208"/>
      <c r="V88" s="208"/>
      <c r="W88" s="208"/>
      <c r="X88" s="208"/>
    </row>
    <row r="90" spans="1:24" x14ac:dyDescent="0.2">
      <c r="A90" s="211" t="s">
        <v>219</v>
      </c>
      <c r="B90" s="211"/>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7" t="s">
        <v>220</v>
      </c>
      <c r="B92" s="207"/>
      <c r="C92" s="208"/>
      <c r="D92" s="208"/>
      <c r="E92" s="208"/>
      <c r="F92" s="208"/>
      <c r="G92" s="208"/>
      <c r="H92" s="208"/>
      <c r="I92" s="208"/>
      <c r="J92" s="208"/>
      <c r="K92" s="208"/>
      <c r="L92" s="208"/>
      <c r="M92" s="208"/>
      <c r="N92" s="208"/>
      <c r="O92" s="208"/>
      <c r="P92" s="208"/>
      <c r="Q92" s="208"/>
      <c r="R92" s="208"/>
      <c r="S92" s="208"/>
      <c r="T92" s="208"/>
      <c r="U92" s="208"/>
      <c r="V92" s="208"/>
      <c r="W92" s="208"/>
      <c r="X92" s="208"/>
    </row>
    <row r="93" spans="1:24" ht="12.75" customHeight="1" x14ac:dyDescent="0.2">
      <c r="A93" s="203" t="s">
        <v>221</v>
      </c>
      <c r="B93" s="203"/>
      <c r="C93" s="204"/>
      <c r="D93" s="204"/>
      <c r="E93" s="204"/>
      <c r="F93" s="204"/>
      <c r="G93" s="204"/>
      <c r="H93" s="204"/>
      <c r="I93" s="204"/>
      <c r="J93" s="204"/>
      <c r="K93" s="204"/>
      <c r="L93" s="204"/>
      <c r="M93" s="204"/>
      <c r="N93" s="204"/>
      <c r="O93" s="204"/>
      <c r="P93" s="204"/>
      <c r="Q93" s="204"/>
      <c r="R93" s="204"/>
      <c r="S93" s="204"/>
      <c r="T93" s="204"/>
      <c r="U93" s="204"/>
      <c r="V93" s="204"/>
      <c r="W93" s="204"/>
      <c r="X93" s="204"/>
    </row>
    <row r="94" spans="1:24" ht="12.75" customHeight="1" x14ac:dyDescent="0.2">
      <c r="A94" s="207" t="s">
        <v>222</v>
      </c>
      <c r="B94" s="207"/>
      <c r="C94" s="208"/>
      <c r="D94" s="208"/>
      <c r="E94" s="208"/>
      <c r="F94" s="208"/>
      <c r="G94" s="208"/>
      <c r="H94" s="208"/>
      <c r="I94" s="208"/>
      <c r="J94" s="208"/>
      <c r="K94" s="208"/>
      <c r="L94" s="208"/>
      <c r="M94" s="208"/>
      <c r="N94" s="208"/>
      <c r="O94" s="208"/>
      <c r="P94" s="208"/>
      <c r="Q94" s="208"/>
      <c r="R94" s="208"/>
      <c r="S94" s="208"/>
      <c r="T94" s="208"/>
      <c r="U94" s="208"/>
      <c r="V94" s="208"/>
      <c r="W94" s="208"/>
      <c r="X94" s="208"/>
    </row>
    <row r="95" spans="1:24" x14ac:dyDescent="0.2">
      <c r="A95" s="207" t="s">
        <v>223</v>
      </c>
      <c r="B95" s="207"/>
      <c r="C95" s="208"/>
      <c r="D95" s="208"/>
      <c r="E95" s="208"/>
      <c r="F95" s="208"/>
      <c r="G95" s="208"/>
      <c r="H95" s="208"/>
      <c r="I95" s="208"/>
      <c r="J95" s="208"/>
      <c r="K95" s="208"/>
      <c r="L95" s="208"/>
      <c r="M95" s="208"/>
      <c r="N95" s="208"/>
      <c r="O95" s="208"/>
      <c r="P95" s="208"/>
      <c r="Q95" s="208"/>
      <c r="R95" s="208"/>
      <c r="S95" s="208"/>
      <c r="T95" s="208"/>
      <c r="U95" s="208"/>
      <c r="V95" s="208"/>
      <c r="W95" s="208"/>
      <c r="X95" s="208"/>
    </row>
    <row r="96" spans="1:24" ht="12.75" customHeight="1" x14ac:dyDescent="0.2">
      <c r="A96" s="203"/>
      <c r="B96" s="203"/>
      <c r="C96" s="204"/>
      <c r="D96" s="204"/>
      <c r="E96" s="204"/>
      <c r="F96" s="204"/>
      <c r="G96" s="204"/>
      <c r="H96" s="204"/>
      <c r="I96" s="204"/>
      <c r="J96" s="204"/>
      <c r="K96" s="204"/>
      <c r="L96" s="204"/>
      <c r="M96" s="204"/>
      <c r="N96" s="204"/>
      <c r="O96" s="204"/>
      <c r="P96" s="204"/>
      <c r="Q96" s="204"/>
      <c r="R96" s="204"/>
      <c r="S96" s="204"/>
      <c r="T96" s="204"/>
      <c r="U96" s="204"/>
      <c r="V96" s="204"/>
      <c r="W96" s="204"/>
      <c r="X96" s="204"/>
    </row>
    <row r="97" spans="1:24" x14ac:dyDescent="0.2">
      <c r="A97" s="211" t="s">
        <v>224</v>
      </c>
      <c r="B97" s="211"/>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1:24" ht="12.75" customHeight="1" x14ac:dyDescent="0.2">
      <c r="A98" s="203"/>
      <c r="B98" s="203"/>
      <c r="C98" s="204"/>
      <c r="D98" s="204"/>
      <c r="E98" s="204"/>
      <c r="F98" s="204"/>
      <c r="G98" s="204"/>
      <c r="H98" s="204"/>
      <c r="I98" s="204"/>
      <c r="J98" s="204"/>
      <c r="K98" s="204"/>
      <c r="L98" s="204"/>
      <c r="M98" s="204"/>
      <c r="N98" s="204"/>
      <c r="O98" s="204"/>
      <c r="P98" s="204"/>
      <c r="Q98" s="204"/>
      <c r="R98" s="204"/>
      <c r="S98" s="204"/>
      <c r="T98" s="204"/>
      <c r="U98" s="204"/>
      <c r="V98" s="204"/>
      <c r="W98" s="204"/>
      <c r="X98" s="204"/>
    </row>
    <row r="99" spans="1:24" ht="12.75" customHeight="1" x14ac:dyDescent="0.2">
      <c r="A99" s="207" t="s">
        <v>225</v>
      </c>
      <c r="B99" s="207"/>
      <c r="C99" s="208"/>
      <c r="D99" s="208"/>
      <c r="E99" s="208"/>
      <c r="F99" s="208"/>
      <c r="G99" s="208"/>
      <c r="H99" s="208"/>
      <c r="I99" s="208"/>
      <c r="J99" s="208"/>
      <c r="K99" s="208"/>
      <c r="L99" s="208"/>
      <c r="M99" s="208"/>
      <c r="N99" s="208"/>
      <c r="O99" s="208"/>
      <c r="P99" s="208"/>
      <c r="Q99" s="208"/>
      <c r="R99" s="208"/>
      <c r="S99" s="208"/>
      <c r="T99" s="208"/>
      <c r="U99" s="208"/>
      <c r="V99" s="208"/>
      <c r="W99" s="208"/>
      <c r="X99" s="208"/>
    </row>
    <row r="100" spans="1:24" ht="12.75" customHeight="1" x14ac:dyDescent="0.2">
      <c r="A100" s="207" t="s">
        <v>226</v>
      </c>
      <c r="B100" s="207"/>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row>
    <row r="101" spans="1:24" x14ac:dyDescent="0.2">
      <c r="A101" s="207" t="s">
        <v>227</v>
      </c>
      <c r="B101" s="207"/>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0.21859999999999999</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13"/>
      <c r="C220" s="205" t="str">
        <f>C28</f>
        <v>GESTOR</v>
      </c>
      <c r="D220" s="206"/>
      <c r="E220" s="213"/>
      <c r="F220" s="205" t="str">
        <f>F28</f>
        <v>PROGRAMA</v>
      </c>
      <c r="G220" s="206"/>
      <c r="H220" s="206"/>
      <c r="I220" s="213"/>
      <c r="J220" s="205" t="str">
        <f>J28</f>
        <v>AÇÃO / MODALIDADE</v>
      </c>
      <c r="K220" s="206"/>
      <c r="L220" s="206"/>
      <c r="M220" s="206"/>
      <c r="N220" s="206"/>
      <c r="O220" s="213"/>
      <c r="P220" s="205" t="str">
        <f>P28</f>
        <v>OBJETO</v>
      </c>
      <c r="Q220" s="206"/>
      <c r="R220" s="206"/>
      <c r="S220" s="206"/>
      <c r="T220" s="206"/>
      <c r="U220" s="206"/>
      <c r="V220" s="206"/>
      <c r="W220" s="206"/>
      <c r="X220" s="213"/>
    </row>
    <row r="221" spans="1:24" ht="12.75" customHeight="1" x14ac:dyDescent="0.2">
      <c r="A221" s="245" t="str">
        <f>IF(A29="","",A29)</f>
        <v/>
      </c>
      <c r="B221" s="247"/>
      <c r="C221" s="245" t="str">
        <f>IF(C29="","",C29)</f>
        <v/>
      </c>
      <c r="D221" s="246"/>
      <c r="E221" s="247"/>
      <c r="F221" s="245" t="str">
        <f>IF(F29="","",F29)</f>
        <v/>
      </c>
      <c r="G221" s="246"/>
      <c r="H221" s="246"/>
      <c r="I221" s="247"/>
      <c r="J221" s="245" t="str">
        <f>IF(J29="","",J29)</f>
        <v>PLANEJAMENTO URBANO</v>
      </c>
      <c r="K221" s="246"/>
      <c r="L221" s="246" t="e">
        <f>IF(#REF!="","",#REF!)</f>
        <v>#REF!</v>
      </c>
      <c r="M221" s="246"/>
      <c r="N221" s="246" t="e">
        <f>IF(#REF!="","",#REF!)</f>
        <v>#REF!</v>
      </c>
      <c r="O221" s="247"/>
      <c r="P221" s="245" t="str">
        <f>IF(P29="","",P29)</f>
        <v>PAVIMENTAÇÃO ASFÁLTICA SOBRE CALÇAMENTO NO DISTRITO INDUSTRIAL</v>
      </c>
      <c r="Q221" s="246"/>
      <c r="R221" s="246"/>
      <c r="S221" s="246"/>
      <c r="T221" s="246"/>
      <c r="U221" s="246"/>
      <c r="V221" s="246"/>
      <c r="W221" s="246"/>
      <c r="X221" s="247"/>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13"/>
      <c r="K223" s="205" t="str">
        <f>K31</f>
        <v>LOCALIDADE / ENDEREÇO</v>
      </c>
      <c r="L223" s="206"/>
      <c r="M223" s="206"/>
      <c r="N223" s="206"/>
      <c r="O223" s="206"/>
      <c r="P223" s="213"/>
      <c r="Q223" s="205" t="str">
        <f>Q31</f>
        <v>APELIDO DO EMPREENDIMENTO</v>
      </c>
      <c r="R223" s="206"/>
      <c r="S223" s="206"/>
      <c r="T223" s="206"/>
      <c r="U223" s="206"/>
      <c r="V223" s="206"/>
      <c r="W223" s="206"/>
      <c r="X223" s="213"/>
    </row>
    <row r="224" spans="1:24" ht="12.75" customHeight="1" x14ac:dyDescent="0.2">
      <c r="A224" s="243" t="str">
        <f>IF(A32="","",A32)</f>
        <v>MUNICIPIO</v>
      </c>
      <c r="B224" s="244"/>
      <c r="C224" s="244"/>
      <c r="D224" s="244"/>
      <c r="E224" s="244"/>
      <c r="F224" s="244"/>
      <c r="G224" s="245" t="str">
        <f>IF(G32="","",G32)</f>
        <v>TUCUNDUVA RS</v>
      </c>
      <c r="H224" s="246" t="str">
        <f>IF(I32="","",I32)</f>
        <v/>
      </c>
      <c r="I224" s="246"/>
      <c r="J224" s="247" t="e">
        <f>IF(#REF!="","",#REF!)</f>
        <v>#REF!</v>
      </c>
      <c r="K224" s="245" t="str">
        <f>IF(K32="","",K32)</f>
        <v>RUA SANTA ROSA 520</v>
      </c>
      <c r="L224" s="246"/>
      <c r="M224" s="246"/>
      <c r="N224" s="246"/>
      <c r="O224" s="246"/>
      <c r="P224" s="247"/>
      <c r="Q224" s="245" t="str">
        <f>IF(Q32="","",Q32)</f>
        <v>PAVIMENTAÇÃO ASFÁLTICA NA RUA DAS INDÚSTRIAS</v>
      </c>
      <c r="R224" s="246"/>
      <c r="S224" s="246"/>
      <c r="T224" s="246"/>
      <c r="U224" s="246"/>
      <c r="V224" s="246"/>
      <c r="W224" s="246"/>
      <c r="X224" s="247"/>
    </row>
    <row r="225" spans="1:24" ht="6" hidden="1" customHeight="1" x14ac:dyDescent="0.2">
      <c r="A225"/>
      <c r="B225"/>
      <c r="F225"/>
      <c r="G225"/>
      <c r="H225"/>
    </row>
    <row r="226" spans="1:24" hidden="1" x14ac:dyDescent="0.2">
      <c r="A226" s="205" t="str">
        <f>A37</f>
        <v>DATA BASE</v>
      </c>
      <c r="B226" s="213"/>
      <c r="C226" s="78" t="str">
        <f>C37</f>
        <v>DESON.</v>
      </c>
      <c r="D226" s="205" t="str">
        <f>D37</f>
        <v>LOCALIDADE DO SINAPI</v>
      </c>
      <c r="E226" s="206"/>
      <c r="F226" s="213"/>
      <c r="G226" s="205" t="str">
        <f>G37</f>
        <v>DESCRIÇÃO DO LOTE</v>
      </c>
      <c r="H226" s="206"/>
      <c r="I226" s="206"/>
      <c r="J226" s="206"/>
      <c r="K226" s="206"/>
      <c r="L226" s="206"/>
      <c r="M226" s="206"/>
      <c r="N226" s="206"/>
      <c r="O226" s="206"/>
      <c r="P226" s="206"/>
      <c r="Q226" s="206"/>
      <c r="R226" s="206"/>
      <c r="S226" s="213"/>
      <c r="T226" s="79" t="str">
        <f>T37</f>
        <v>BDI 1</v>
      </c>
      <c r="U226" s="79" t="str">
        <f>U37</f>
        <v>BDI 2</v>
      </c>
      <c r="V226" s="79" t="str">
        <f>V37</f>
        <v>BDI 3</v>
      </c>
      <c r="W226" s="79" t="str">
        <f>W37</f>
        <v>BDI 4</v>
      </c>
      <c r="X226" s="79" t="str">
        <f>X37</f>
        <v>BDI 5</v>
      </c>
    </row>
    <row r="227" spans="1:24" ht="12.75" hidden="1" customHeight="1" x14ac:dyDescent="0.2">
      <c r="A227" s="248">
        <f>IF(A38="","",A38)</f>
        <v>45778</v>
      </c>
      <c r="B227" s="249"/>
      <c r="C227" s="115" t="str">
        <f t="shared" ref="C227:X227" si="0">IF(C38="","",C38)</f>
        <v>Não</v>
      </c>
      <c r="D227" s="250" t="str">
        <f t="shared" si="0"/>
        <v>Porto Alegre / RS</v>
      </c>
      <c r="E227" s="251" t="str">
        <f t="shared" si="0"/>
        <v/>
      </c>
      <c r="F227" s="252" t="str">
        <f t="shared" si="0"/>
        <v/>
      </c>
      <c r="G227" s="250" t="str">
        <f t="shared" si="0"/>
        <v>PAVIMENTAÇÃO ASFÁLTICA NO DISTRITO INDUSTRIAL</v>
      </c>
      <c r="H227" s="251" t="str">
        <f t="shared" si="0"/>
        <v/>
      </c>
      <c r="I227" s="251" t="str">
        <f t="shared" si="0"/>
        <v/>
      </c>
      <c r="J227" s="251" t="str">
        <f t="shared" si="0"/>
        <v/>
      </c>
      <c r="K227" s="251" t="str">
        <f t="shared" si="0"/>
        <v/>
      </c>
      <c r="L227" s="251" t="str">
        <f t="shared" si="0"/>
        <v/>
      </c>
      <c r="M227" s="251" t="str">
        <f t="shared" si="0"/>
        <v/>
      </c>
      <c r="N227" s="251" t="str">
        <f t="shared" si="0"/>
        <v/>
      </c>
      <c r="O227" s="251" t="str">
        <f t="shared" si="0"/>
        <v/>
      </c>
      <c r="P227" s="251" t="str">
        <f t="shared" si="0"/>
        <v/>
      </c>
      <c r="Q227" s="251" t="str">
        <f t="shared" si="0"/>
        <v/>
      </c>
      <c r="R227" s="251" t="str">
        <f t="shared" si="0"/>
        <v/>
      </c>
      <c r="S227" s="252" t="str">
        <f t="shared" si="0"/>
        <v/>
      </c>
      <c r="T227" s="117">
        <f t="shared" ca="1" si="0"/>
        <v>0.21859999999999999</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5" t="s">
        <v>87</v>
      </c>
      <c r="B229" s="213"/>
      <c r="C229" s="205" t="s">
        <v>163</v>
      </c>
      <c r="D229" s="206"/>
      <c r="E229" s="206"/>
      <c r="F229" s="206"/>
      <c r="G229" s="206"/>
      <c r="H229" s="205" t="s">
        <v>16</v>
      </c>
      <c r="I229" s="206"/>
      <c r="J229" s="20" t="s">
        <v>91</v>
      </c>
      <c r="K229" s="205" t="s">
        <v>88</v>
      </c>
      <c r="L229" s="206"/>
      <c r="M229" s="213"/>
      <c r="N229" s="20" t="s">
        <v>92</v>
      </c>
      <c r="O229" s="205" t="s">
        <v>93</v>
      </c>
      <c r="P229" s="206"/>
      <c r="Q229" s="206"/>
      <c r="R229" s="206"/>
      <c r="S229" s="206"/>
      <c r="T229" s="213"/>
      <c r="U229" s="220" t="s">
        <v>89</v>
      </c>
      <c r="V229" s="221"/>
      <c r="W229" s="220" t="s">
        <v>90</v>
      </c>
      <c r="X229" s="221"/>
    </row>
    <row r="230" spans="1:24" ht="12.75" customHeight="1" x14ac:dyDescent="0.2">
      <c r="A230" s="250" t="str">
        <f>IF(A43="","",A43)</f>
        <v/>
      </c>
      <c r="B230" s="252"/>
      <c r="C230" s="250" t="str">
        <f>IF(C43="","",C43)</f>
        <v/>
      </c>
      <c r="D230" s="251"/>
      <c r="E230" s="251" t="str">
        <f>IF(E43="","",E43)</f>
        <v/>
      </c>
      <c r="F230" s="251"/>
      <c r="G230" s="251" t="str">
        <f>IF(G43="","",G43)</f>
        <v/>
      </c>
      <c r="H230" s="267" t="str">
        <f>IF(H43="","",H43)</f>
        <v/>
      </c>
      <c r="I230" s="268" t="str">
        <f>IF(I43="","",I43)</f>
        <v/>
      </c>
      <c r="J230" s="116" t="str">
        <f>IF(J43="","",J43)</f>
        <v/>
      </c>
      <c r="K230" s="259" t="str">
        <f>IF(K43="","",K43)</f>
        <v/>
      </c>
      <c r="L230" s="261"/>
      <c r="M230" s="262" t="str">
        <f>IF(M43="","",M43)</f>
        <v/>
      </c>
      <c r="N230" s="118" t="str">
        <f>IF(N43="","",N43)</f>
        <v/>
      </c>
      <c r="O230" s="259" t="str">
        <f>IF(O43="","",O43)</f>
        <v/>
      </c>
      <c r="P230" s="260"/>
      <c r="Q230" s="260" t="str">
        <f>IF(Q43="","",Q43)</f>
        <v/>
      </c>
      <c r="R230" s="261"/>
      <c r="S230" s="261" t="str">
        <f>IF(S43="","",S43)</f>
        <v/>
      </c>
      <c r="T230" s="262"/>
      <c r="U230" s="265" t="str">
        <f>IF(U43="","",U43)</f>
        <v/>
      </c>
      <c r="V230" s="266"/>
      <c r="W230" s="263" t="str">
        <f>IF(W43="","",W43)</f>
        <v/>
      </c>
      <c r="X230" s="26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Igc56FVaxkpe+XwmbbgOEYiPTbZuzeR7M3zQ1XMksyVPQOyEk2w0dahWsqsgnC8eZYG8P5DIVHpxgtZL9Mlv/g==" saltValue="3/41ugB0Wxw3FH3XkUbjSA=="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6" type="noConversion"/>
  <conditionalFormatting sqref="B54:E55 B56 B57:E57">
    <cfRule type="expression" dxfId="297" priority="42" stopIfTrue="1">
      <formula>$B54&lt;&gt;""</formula>
    </cfRule>
  </conditionalFormatting>
  <conditionalFormatting sqref="A48 H54:K54 H55:H56 H57:K57 A29:C29 J29 F29 A32 P29 G32 K32">
    <cfRule type="expression" dxfId="296" priority="48" stopIfTrue="1">
      <formula>A29&lt;&gt;""</formula>
    </cfRule>
  </conditionalFormatting>
  <conditionalFormatting sqref="G53:K54 G55:H56 G57:K57">
    <cfRule type="expression" dxfId="295" priority="43" stopIfTrue="1">
      <formula>$K$52&lt;&gt;"SIM"</formula>
    </cfRule>
  </conditionalFormatting>
  <conditionalFormatting sqref="A40:X43">
    <cfRule type="expression" dxfId="294" priority="56" stopIfTrue="1">
      <formula>OR(TipoOrçamento="BASE",TipoOrçamento="REPROGRAMADONPL")</formula>
    </cfRule>
    <cfRule type="expression" dxfId="293" priority="57" stopIfTrue="1">
      <formula>A40&lt;&gt;""</formula>
    </cfRule>
  </conditionalFormatting>
  <conditionalFormatting sqref="A35:X38">
    <cfRule type="expression" dxfId="292" priority="58" stopIfTrue="1">
      <formula>OR(TipoOrçamento="LICITADO",TipoOrçamento="REPROGRAMADOAC")</formula>
    </cfRule>
    <cfRule type="expression" dxfId="291" priority="59" stopIfTrue="1">
      <formula>A35&lt;&gt;""</formula>
    </cfRule>
  </conditionalFormatting>
  <conditionalFormatting sqref="Q32">
    <cfRule type="expression" dxfId="290"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4" orientation="landscape"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N22" sqref="N22"/>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3">
        <f>DADOS!A29</f>
        <v>0</v>
      </c>
      <c r="J5" s="304"/>
      <c r="K5" s="305" t="str">
        <f>DADOS!A32</f>
        <v>MUNICIPIO</v>
      </c>
      <c r="L5" s="306"/>
      <c r="M5" s="306"/>
      <c r="N5" s="306"/>
      <c r="O5" s="306"/>
      <c r="P5" s="306"/>
      <c r="Q5" s="306"/>
      <c r="R5" s="304"/>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7" t="str">
        <f>DADOS!P29</f>
        <v>PAVIMENTAÇÃO ASFÁLTICA SOBRE CALÇAMENTO NO DISTRITO INDUSTRIAL</v>
      </c>
      <c r="J8" s="307"/>
      <c r="K8" s="307"/>
      <c r="L8" s="307"/>
      <c r="M8" s="307"/>
      <c r="N8" s="307"/>
      <c r="O8" s="307"/>
      <c r="P8" s="307"/>
      <c r="Q8" s="307"/>
      <c r="R8" s="307"/>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98" t="s">
        <v>34</v>
      </c>
      <c r="J11" s="299"/>
      <c r="K11" s="299"/>
      <c r="L11" s="299"/>
      <c r="M11" s="299"/>
      <c r="N11" s="299"/>
      <c r="O11" s="299"/>
      <c r="P11" s="300"/>
      <c r="Q11" s="301" t="str">
        <f>DADOS!$C$38</f>
        <v>Não</v>
      </c>
      <c r="R11" s="302"/>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2" t="s">
        <v>36</v>
      </c>
      <c r="J13" s="312"/>
      <c r="K13" s="312"/>
      <c r="L13" s="312"/>
      <c r="M13" s="312"/>
      <c r="N13" s="312"/>
      <c r="O13" s="312"/>
      <c r="P13" s="312"/>
      <c r="Q13" s="309">
        <v>1</v>
      </c>
      <c r="R13" s="30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0" t="s">
        <v>38</v>
      </c>
      <c r="J14" s="310"/>
      <c r="K14" s="310"/>
      <c r="L14" s="310"/>
      <c r="M14" s="310"/>
      <c r="N14" s="310"/>
      <c r="O14" s="310"/>
      <c r="P14" s="310"/>
      <c r="Q14" s="309">
        <v>0.02</v>
      </c>
      <c r="R14" s="30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1" t="s">
        <v>39</v>
      </c>
      <c r="J16" s="311"/>
      <c r="K16" s="311"/>
      <c r="L16" s="311"/>
      <c r="M16" s="311" t="s">
        <v>40</v>
      </c>
      <c r="N16" s="313" t="s">
        <v>41</v>
      </c>
      <c r="O16" s="313" t="s">
        <v>42</v>
      </c>
      <c r="P16" s="311" t="s">
        <v>43</v>
      </c>
      <c r="Q16" s="311" t="s">
        <v>44</v>
      </c>
      <c r="R16" s="292" t="s">
        <v>45</v>
      </c>
      <c r="T16" s="289" t="str">
        <f>IF(V27,"Para BDI fora do intervalo estatístico, deve ser apresentado Relatório Técnico Circunstanciado justificando a adoção do percentual de cada parcela do BDI.","")</f>
        <v/>
      </c>
      <c r="U16" s="289"/>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1"/>
      <c r="J17" s="311"/>
      <c r="K17" s="311"/>
      <c r="L17" s="311"/>
      <c r="M17" s="311"/>
      <c r="N17" s="313"/>
      <c r="O17" s="313"/>
      <c r="P17" s="311"/>
      <c r="Q17" s="311"/>
      <c r="R17" s="292"/>
      <c r="T17" s="289"/>
      <c r="U17" s="289"/>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7" t="str">
        <f>IF($I$11=$A$59,"Encargos Sociais incidentes sobre a mão de obra","Administração Central")</f>
        <v>Administração Central</v>
      </c>
      <c r="J18" s="277"/>
      <c r="K18" s="277"/>
      <c r="L18" s="277"/>
      <c r="M18" s="50" t="str">
        <f>IF($I$11=$A$59,"K1","AC")</f>
        <v>AC</v>
      </c>
      <c r="N18" s="51">
        <v>4.4999999999999998E-2</v>
      </c>
      <c r="O18" s="52" t="s">
        <v>46</v>
      </c>
      <c r="P18" s="53">
        <f>VLOOKUP(CONCATENATE(I$11,"-",M18),$C$2:$G$49,3,FALSE)</f>
        <v>3.7999999999999999E-2</v>
      </c>
      <c r="Q18" s="53">
        <f>VLOOKUP(CONCATENATE(I$11,"-",M18),$C$2:$G$49,4,FALSE)</f>
        <v>4.0099999999999997E-2</v>
      </c>
      <c r="R18" s="53">
        <f>VLOOKUP(CONCATENATE(I$11,"-",M18),$C$2:$G$49,5,FALSE)</f>
        <v>4.6699999999999998E-2</v>
      </c>
      <c r="T18" s="289"/>
      <c r="U18" s="289"/>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7" t="str">
        <f>IF($I$11=$A$59,"Administração Central da empresa ou consultoria - overhead","Seguro e Garantia")</f>
        <v>Seguro e Garantia</v>
      </c>
      <c r="J19" s="277"/>
      <c r="K19" s="277"/>
      <c r="L19" s="277"/>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89"/>
      <c r="U19" s="289"/>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7" t="str">
        <f>IF($I$11=$A$59,"","Risco")</f>
        <v>Risco</v>
      </c>
      <c r="J20" s="277"/>
      <c r="K20" s="277"/>
      <c r="L20" s="277"/>
      <c r="M20" s="50" t="str">
        <f>IF($I$11=$A$59,"","R")</f>
        <v>R</v>
      </c>
      <c r="N20" s="51">
        <v>9.7000000000000003E-3</v>
      </c>
      <c r="O20" s="52" t="s">
        <v>46</v>
      </c>
      <c r="P20" s="53">
        <f>VLOOKUP(CONCATENATE(I$11,"-",M20),$C$2:$G$49,3,FALSE)</f>
        <v>5.0000000000000001E-3</v>
      </c>
      <c r="Q20" s="53">
        <f>VLOOKUP(CONCATENATE(I$11,"-",M20),$C$2:$G$49,4,FALSE)</f>
        <v>5.6000000000000008E-3</v>
      </c>
      <c r="R20" s="53">
        <f>VLOOKUP(CONCATENATE(I$11,"-",M20),$C$2:$G$49,5,FALSE)</f>
        <v>9.7000000000000003E-3</v>
      </c>
      <c r="T20" s="289"/>
      <c r="U20" s="289"/>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7" t="str">
        <f>IF($I$11=$A$59,"","Despesas Financeiras")</f>
        <v>Despesas Financeiras</v>
      </c>
      <c r="J21" s="277"/>
      <c r="K21" s="277"/>
      <c r="L21" s="277"/>
      <c r="M21" s="50" t="str">
        <f>IF($I$11=$A$59,"","DF")</f>
        <v>DF</v>
      </c>
      <c r="N21" s="51">
        <v>1.17E-2</v>
      </c>
      <c r="O21" s="52" t="s">
        <v>46</v>
      </c>
      <c r="P21" s="53">
        <f>VLOOKUP(CONCATENATE(I$11,"-",M21),$C$2:$G$49,3,FALSE)</f>
        <v>1.0200000000000001E-2</v>
      </c>
      <c r="Q21" s="53">
        <f>VLOOKUP(CONCATENATE(I$11,"-",M21),$C$2:$G$49,4,FALSE)</f>
        <v>1.11E-2</v>
      </c>
      <c r="R21" s="53">
        <f>VLOOKUP(CONCATENATE(I$11,"-",M21),$C$2:$G$49,5,FALSE)</f>
        <v>1.21E-2</v>
      </c>
      <c r="T21" s="289"/>
      <c r="U21" s="289"/>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7" t="str">
        <f>IF($I$11=$A$59,"Margem bruta da empresa de consultoria","Lucro")</f>
        <v>Lucro</v>
      </c>
      <c r="J22" s="277"/>
      <c r="K22" s="277"/>
      <c r="L22" s="277"/>
      <c r="M22" s="50" t="str">
        <f>IF($I$11=$A$59,"K3","L")</f>
        <v>L</v>
      </c>
      <c r="N22" s="51">
        <v>7.0000000000000007E-2</v>
      </c>
      <c r="O22" s="52" t="s">
        <v>46</v>
      </c>
      <c r="P22" s="53">
        <f>VLOOKUP(CONCATENATE(I$11,"-",M22),$C$2:$G$49,3,FALSE)</f>
        <v>6.6400000000000001E-2</v>
      </c>
      <c r="Q22" s="53">
        <f>VLOOKUP(CONCATENATE(I$11,"-",M22),$C$2:$G$49,4,FALSE)</f>
        <v>7.2999999999999995E-2</v>
      </c>
      <c r="R22" s="53">
        <f>VLOOKUP(CONCATENATE(I$11,"-",M22),$C$2:$G$49,5,FALSE)</f>
        <v>8.6899999999999991E-2</v>
      </c>
      <c r="T22" s="289"/>
      <c r="U22" s="289"/>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1" t="s">
        <v>48</v>
      </c>
      <c r="J23" s="291"/>
      <c r="K23" s="291"/>
      <c r="L23" s="291"/>
      <c r="M23" s="50" t="s">
        <v>49</v>
      </c>
      <c r="N23" s="51">
        <v>3.6499999999999998E-2</v>
      </c>
      <c r="O23" s="52" t="s">
        <v>46</v>
      </c>
      <c r="P23" s="53">
        <v>3.6499999999999998E-2</v>
      </c>
      <c r="Q23" s="53">
        <v>3.6499999999999998E-2</v>
      </c>
      <c r="R23" s="53">
        <v>3.6499999999999998E-2</v>
      </c>
      <c r="T23" s="289"/>
      <c r="U23" s="289"/>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7" t="s">
        <v>50</v>
      </c>
      <c r="J24" s="277"/>
      <c r="K24" s="277"/>
      <c r="L24" s="277"/>
      <c r="M24" s="50" t="s">
        <v>51</v>
      </c>
      <c r="N24" s="53">
        <f>IF($I$11&lt;&gt;$A$58,Q14*Q13,0)</f>
        <v>0.02</v>
      </c>
      <c r="O24" s="52" t="s">
        <v>46</v>
      </c>
      <c r="P24" s="53">
        <v>0</v>
      </c>
      <c r="Q24" s="53">
        <v>2.5000000000000001E-2</v>
      </c>
      <c r="R24" s="53">
        <v>0.05</v>
      </c>
      <c r="T24" s="289"/>
      <c r="U24" s="289"/>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7" t="s">
        <v>116</v>
      </c>
      <c r="J25" s="277"/>
      <c r="K25" s="277"/>
      <c r="L25" s="27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7" t="s">
        <v>53</v>
      </c>
      <c r="J26" s="277"/>
      <c r="K26" s="277"/>
      <c r="L26" s="277"/>
      <c r="M26" s="55" t="s">
        <v>33</v>
      </c>
      <c r="N26" s="53">
        <f>IF($I$11=$A$58,0,ROUND((((1+N18+N19+N20)*(1+N21)*(1+N22)/(1-(N23+N24)))-1),4))</f>
        <v>0.21859999999999999</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78" t="s">
        <v>55</v>
      </c>
      <c r="J27" s="278"/>
      <c r="K27" s="278"/>
      <c r="L27" s="278"/>
      <c r="M27" s="56" t="s">
        <v>56</v>
      </c>
      <c r="N27" s="57">
        <f>IF($I$11=$A$58,0,ROUND((((1+N18+N19+N20)*(1+N21)*(1+N22)/(1-(N23+N24+N25)))-1),4))</f>
        <v>0.21859999999999999</v>
      </c>
      <c r="O27" s="95" t="str">
        <f>IF(Q11&lt;&gt;"Sim","",O26)</f>
        <v/>
      </c>
      <c r="P27" s="279"/>
      <c r="Q27" s="279"/>
      <c r="R27" s="27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6" t="s">
        <v>117</v>
      </c>
      <c r="K29" s="276"/>
      <c r="L29" s="276"/>
      <c r="M29" s="276"/>
      <c r="N29" s="276"/>
      <c r="O29" s="276"/>
      <c r="P29" s="276"/>
      <c r="Q29" s="276"/>
      <c r="R29" s="276"/>
      <c r="V29" s="96" t="b">
        <v>0</v>
      </c>
      <c r="W29" s="42" t="s">
        <v>119</v>
      </c>
    </row>
    <row r="30" spans="1:31" ht="7.5" customHeight="1" x14ac:dyDescent="0.2">
      <c r="B30" s="44"/>
      <c r="E30" s="45"/>
      <c r="F30" s="45"/>
      <c r="G30" s="45"/>
      <c r="V30" s="96"/>
    </row>
    <row r="31" spans="1:31" ht="18.75" customHeight="1" x14ac:dyDescent="0.2">
      <c r="B31" s="44"/>
      <c r="E31" s="45"/>
      <c r="F31" s="45"/>
      <c r="G31" s="45"/>
      <c r="I31" s="281" t="s">
        <v>61</v>
      </c>
      <c r="J31" s="281"/>
      <c r="K31" s="281"/>
      <c r="L31" s="281"/>
      <c r="M31" s="281"/>
      <c r="N31" s="281"/>
      <c r="O31" s="281"/>
      <c r="P31" s="281"/>
      <c r="Q31" s="281"/>
      <c r="R31" s="281"/>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7" t="str">
        <f>IF(Q11="Sim","BDI.DES =","BDI.PAD =")</f>
        <v>BDI.PAD =</v>
      </c>
      <c r="M32" s="295" t="str">
        <f>IF($I$11=$A$59,"(1+K1+K2)*(1+K3)","(1+AC + S + R + G)*(1 + DF)*(1+L)")</f>
        <v>(1+AC + S + R + G)*(1 + DF)*(1+L)</v>
      </c>
      <c r="N32" s="295"/>
      <c r="O32" s="295"/>
      <c r="P32" s="293"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7"/>
      <c r="M33" s="296" t="str">
        <f>IF(Q11="Sim","(1-CP-ISS-CRPB)","(1-CP-ISS)")</f>
        <v>(1-CP-ISS)</v>
      </c>
      <c r="N33" s="296"/>
      <c r="O33" s="296"/>
      <c r="P33" s="294"/>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282"/>
      <c r="K35" s="282"/>
      <c r="L35" s="282"/>
      <c r="M35" s="282"/>
      <c r="N35" s="282"/>
      <c r="O35" s="282"/>
      <c r="P35" s="282"/>
      <c r="Q35" s="282"/>
      <c r="R35" s="282"/>
    </row>
    <row r="36" spans="1:18" ht="11.25" customHeight="1" x14ac:dyDescent="0.2">
      <c r="B36" s="49"/>
      <c r="E36" s="45"/>
      <c r="F36" s="45"/>
      <c r="G36" s="45"/>
    </row>
    <row r="37" spans="1:18" ht="52.5" customHeight="1" x14ac:dyDescent="0.2">
      <c r="B37" s="49"/>
      <c r="E37" s="45"/>
      <c r="F37" s="45"/>
      <c r="G37" s="45"/>
      <c r="I37" s="28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2"/>
      <c r="K37" s="282"/>
      <c r="L37" s="282"/>
      <c r="M37" s="282"/>
      <c r="N37" s="282"/>
      <c r="O37" s="282"/>
      <c r="P37" s="282"/>
      <c r="Q37" s="282"/>
      <c r="R37" s="282"/>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4"/>
      <c r="J40" s="285"/>
      <c r="K40" s="285"/>
      <c r="L40" s="285"/>
      <c r="M40" s="285"/>
      <c r="N40" s="285"/>
      <c r="O40" s="285"/>
      <c r="P40" s="285"/>
      <c r="Q40" s="285"/>
      <c r="R40" s="286"/>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0" t="str">
        <f>PO!K51</f>
        <v>TUCUNDUVA RS</v>
      </c>
      <c r="J42" s="290"/>
      <c r="K42" s="290"/>
      <c r="L42" s="290"/>
      <c r="O42" s="283">
        <f ca="1">PO!K54</f>
        <v>46084</v>
      </c>
      <c r="P42" s="283"/>
      <c r="Q42" s="283"/>
      <c r="R42" s="283"/>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8" t="s">
        <v>120</v>
      </c>
      <c r="J43" s="308"/>
      <c r="K43" s="308"/>
      <c r="L43" s="30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0"/>
      <c r="J45" s="280"/>
      <c r="K45" s="280"/>
      <c r="L45" s="280"/>
      <c r="M45" s="59"/>
      <c r="N45" s="59"/>
      <c r="O45" s="280"/>
      <c r="P45" s="280"/>
      <c r="Q45" s="280"/>
      <c r="R45" s="280"/>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7" t="s">
        <v>57</v>
      </c>
      <c r="J46" s="287"/>
      <c r="K46" s="287"/>
      <c r="L46" s="287"/>
      <c r="O46" s="287" t="s">
        <v>58</v>
      </c>
      <c r="P46" s="287"/>
      <c r="Q46" s="287"/>
      <c r="R46" s="287"/>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5">
        <f>DADOS!B54</f>
        <v>0</v>
      </c>
      <c r="K47" s="275"/>
      <c r="L47" s="275"/>
      <c r="M47" s="59"/>
      <c r="N47" s="59"/>
      <c r="O47" s="21" t="s">
        <v>140</v>
      </c>
      <c r="P47" s="288" t="s">
        <v>236</v>
      </c>
      <c r="Q47" s="288"/>
      <c r="R47" s="28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5">
        <f>DADOS!B55</f>
        <v>0</v>
      </c>
      <c r="K48" s="275"/>
      <c r="L48" s="275"/>
      <c r="M48" s="59"/>
      <c r="N48" s="59"/>
      <c r="O48" s="21" t="s">
        <v>60</v>
      </c>
      <c r="P48" s="288"/>
      <c r="Q48" s="288"/>
      <c r="R48" s="28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5">
        <f>DADOS!B56</f>
        <v>0</v>
      </c>
      <c r="K49" s="275"/>
      <c r="L49" s="275"/>
      <c r="M49" s="59"/>
      <c r="N49" s="59"/>
      <c r="O49" s="59"/>
      <c r="P49" s="59"/>
      <c r="Q49" s="59"/>
      <c r="R49" s="59"/>
    </row>
    <row r="50" spans="1:18" x14ac:dyDescent="0.2">
      <c r="I50" s="21" t="str">
        <f>DADOS!A57</f>
        <v>CNPJ:</v>
      </c>
      <c r="J50" s="275">
        <f>DADOS!B57</f>
        <v>0</v>
      </c>
      <c r="K50" s="275"/>
      <c r="L50" s="27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algorithmName="SHA-512" hashValue="2LqhIQRdrav8zabscfC1wVJZ7YwC0A02FLbJi76AdWtm28y969+vxtFcQsQnzjXXou+mm0box83/iEQvO8VWiw==" saltValue="XkAVFghE2P/k+5r+eRJdZg=="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4" type="noConversion"/>
  <conditionalFormatting sqref="O42">
    <cfRule type="expression" dxfId="289" priority="6" stopIfTrue="1">
      <formula>$O$42=""</formula>
    </cfRule>
  </conditionalFormatting>
  <conditionalFormatting sqref="O18:O27">
    <cfRule type="expression" dxfId="288" priority="11" stopIfTrue="1">
      <formula>AND(O18&lt;&gt;"OK",O18&lt;&gt;"-",O18&lt;&gt;"")</formula>
    </cfRule>
    <cfRule type="cellIs" dxfId="287" priority="12" stopIfTrue="1" operator="equal">
      <formula>"OK"</formula>
    </cfRule>
  </conditionalFormatting>
  <conditionalFormatting sqref="I26:N26">
    <cfRule type="expression" dxfId="286" priority="10" stopIfTrue="1">
      <formula>$Q$11="Não"</formula>
    </cfRule>
  </conditionalFormatting>
  <conditionalFormatting sqref="I27:N27">
    <cfRule type="expression" dxfId="285" priority="9" stopIfTrue="1">
      <formula>$Q$11="sim"</formula>
    </cfRule>
  </conditionalFormatting>
  <conditionalFormatting sqref="P27:R27">
    <cfRule type="expression" dxfId="284" priority="8" stopIfTrue="1">
      <formula>$Q$11="sim"</formula>
    </cfRule>
  </conditionalFormatting>
  <conditionalFormatting sqref="P47:R48">
    <cfRule type="expression" dxfId="283" priority="7" stopIfTrue="1">
      <formula>P47=""</formula>
    </cfRule>
  </conditionalFormatting>
  <conditionalFormatting sqref="I29:R29">
    <cfRule type="expression" dxfId="282" priority="3" stopIfTrue="1">
      <formula>AND(NOT($V$27),NOT($V$29))</formula>
    </cfRule>
  </conditionalFormatting>
  <conditionalFormatting sqref="P18:R26">
    <cfRule type="expression" dxfId="281"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55"/>
  <sheetViews>
    <sheetView showGridLines="0" tabSelected="1" topLeftCell="J1" zoomScaleNormal="100" zoomScaleSheetLayoutView="100" workbookViewId="0">
      <pane ySplit="12" topLeftCell="A13" activePane="bottomLeft" state="frozen"/>
      <selection pane="bottomLeft" activeCell="Y13" sqref="Y13:Y39"/>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4" t="s">
        <v>181</v>
      </c>
      <c r="X2" s="314"/>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MAX($A$12:$A$40)</f>
        <v>2</v>
      </c>
      <c r="B5" s="1"/>
      <c r="F5" s="2"/>
      <c r="G5" s="1"/>
      <c r="H5" s="1"/>
      <c r="I5" s="1"/>
      <c r="J5" s="1"/>
      <c r="K5" s="1"/>
      <c r="L5" s="1"/>
      <c r="M5" s="1"/>
      <c r="N5" s="1"/>
      <c r="O5" s="1"/>
      <c r="P5" s="1"/>
      <c r="Q5" s="1"/>
      <c r="R5" s="1"/>
      <c r="S5" s="1"/>
      <c r="T5" s="1"/>
      <c r="U5" s="101" t="str">
        <f ca="1">IF(COUNTIF($U$12:OFFSET($U$40,-1,0),"DESCRIÇÃO")+COUNTIF($U$12:OFFSET($U$40,-1,0),"UNIDADE")+COUNTIF($U$12:OFFSET($U$40,-1,0),"SEM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IF(OR($A11="S",$A11=0),0,MATCH(0,OFFSET($B11,1,$A11,ROW($A$40)-ROW($A11)),0))</f>
        <v>0</v>
      </c>
      <c r="I11">
        <f ca="1">IF(OR($A11="S",$A11=0),0,MATCH(OFFSET($B11,0,$A11)+1,OFFSET($B11,1,$A11,ROW($A$40)-ROW($A11)),0))</f>
        <v>0</v>
      </c>
      <c r="J11" s="102" t="s">
        <v>103</v>
      </c>
      <c r="K11" s="138" t="e">
        <f ca="1">IF($A11=0,"-",CONCATENATE(C11&amp;".",IF(AND($A$5&gt;=2,$A11&gt;=2),D11&amp;".",""),IF(AND($A$5&gt;=3,$A11&gt;=3),E11&amp;".",""),IF(AND($A$5&gt;=4,$A11&gt;=4),F11&amp;".",""),IF($A11="S",G11&amp;".","")))</f>
        <v>#VALUE!</v>
      </c>
      <c r="L11" s="176"/>
      <c r="M11" s="176"/>
      <c r="N11" s="198" t="str">
        <f ca="1">IF($A11="S",Referencia.Descricao,"(digite a descrição aqui)")</f>
        <v/>
      </c>
      <c r="O11" s="197" t="str">
        <f ca="1">Referencia.Unidade</f>
        <v/>
      </c>
      <c r="P11" s="192">
        <f ca="1">OFFSET(PLQ!$E$12,ROW($P11)-ROW(P$12),0)</f>
        <v>0</v>
      </c>
      <c r="Q11" s="196"/>
      <c r="R11" s="199" t="s">
        <v>7</v>
      </c>
      <c r="S11" s="103">
        <f>IF($A11="S",IF($Q$10="Preço Unitário (R$)",PO.CustoUnitario,ROUND(PO.CustoUnitario*(1+$Z11),15-13*$X$6)),0)</f>
        <v>0</v>
      </c>
      <c r="T11" s="83">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0.21859999999999999</v>
      </c>
      <c r="AA11" s="1"/>
    </row>
    <row r="12" spans="1:27" x14ac:dyDescent="0.2">
      <c r="A12">
        <v>0</v>
      </c>
      <c r="B12">
        <f ca="1">COUNTA(OFFSET(B12,1,0):B$40)</f>
        <v>27</v>
      </c>
      <c r="J12" s="64" t="str">
        <f>IF(OR(TipoOrçamento="LICITADO",TipoOrçamento="REPROGRAMADOAC"),"CTEF","LOTE")</f>
        <v>CTEF</v>
      </c>
      <c r="K12" s="139">
        <v>0</v>
      </c>
      <c r="L12" s="6"/>
      <c r="M12" s="6"/>
      <c r="N12" s="73">
        <f>IF(TipoOrçamento="LICITADO",DADOS!O43,DADOS!G38)</f>
        <v>0</v>
      </c>
      <c r="O12" s="6"/>
      <c r="P12" s="7"/>
      <c r="Q12" s="7"/>
      <c r="R12" s="8"/>
      <c r="S12" s="7"/>
      <c r="T12" s="82">
        <f ca="1">SUMIF(OFFSET($J12,1,0,ROW(T40)-ROW(T12)-1),"Serviço",OFFSET(T12,1,0,ROW(T40)-ROW(T12)-1))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15</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t="shared" ref="H13:H39" ca="1" si="7">IF(OR($A13="S",$A13=0),0,MATCH(0,OFFSET($B13,1,$A13,ROW($A$40)-ROW($A13)),0))</f>
        <v>27</v>
      </c>
      <c r="I13">
        <f t="shared" ref="I13:I39" ca="1" si="8">IF(OR($A13="S",$A13=0),0,MATCH(OFFSET($B13,0,$A13)+1,OFFSET($B13,1,$A13,ROW($A$40)-ROW($A13)),0))</f>
        <v>15</v>
      </c>
      <c r="J13" s="352" t="s">
        <v>99</v>
      </c>
      <c r="K13" s="138" t="str">
        <f t="shared" ref="K13:K23" ca="1" si="9">IF($A13=0,"-",CONCATENATE(C13&amp;".",IF(AND($A$5&gt;=2,$A13&gt;=2),D13&amp;".",""),IF(AND($A$5&gt;=3,$A13&gt;=3),E13&amp;".",""),IF(AND($A$5&gt;=4,$A13&gt;=4),F13&amp;".",""),IF($A13="S",G13&amp;".","")))</f>
        <v>1.</v>
      </c>
      <c r="L13" s="354"/>
      <c r="M13" s="354"/>
      <c r="N13" s="355" t="s">
        <v>256</v>
      </c>
      <c r="O13" s="356" t="s">
        <v>106</v>
      </c>
      <c r="P13" s="192">
        <f ca="1">OFFSET(PLQ!$E$12,ROW($P13)-ROW(P$12),0)</f>
        <v>0</v>
      </c>
      <c r="Q13" s="196"/>
      <c r="R13" s="199" t="s">
        <v>7</v>
      </c>
      <c r="S13" s="103">
        <f t="shared" ref="S13:S23" si="10">IF($A13="S",IF($Q$10="Preço Unitário (R$)",PO.CustoUnitario,ROUND(PO.CustoUnitario*(1+$Z13),15-13*$X$6)),0)</f>
        <v>0</v>
      </c>
      <c r="T13" s="83">
        <f t="shared" ref="T13:T23" ca="1" si="11">IF($A13="S",VTOTAL1,IF($A13=0,0,ROUND(SomaAgrup,15-13*$X$7)))</f>
        <v>0</v>
      </c>
      <c r="U13" s="9" t="str">
        <f t="shared" ref="U13:U23" ca="1" si="12">IF($J13="","",IF($N13="","DESCRIÇÃO",IF(AND($J13="Serviço",$O13=""),"UNIDADE",IF($T13&lt;=0,"SEM VALOR",IF(AND($Y13&lt;&gt;"",$Q13&gt;$Y13),"ACIMA REF.","")))))</f>
        <v>SEM VALOR</v>
      </c>
      <c r="V13" s="1">
        <f ca="1">IF(OR($A13=0,$A13="S",$A13&gt;CFF!$A$9),"",MAX(V$12:OFFSET(V13,-1,0))+1)</f>
        <v>1</v>
      </c>
      <c r="W13" s="4" t="b">
        <f t="shared" ref="W13:W23" si="13">IF(AND($J13="Serviço",$M13&lt;&gt;""),IF($L13="",$M13,CONCATENATE($L13,"-",$M13)))</f>
        <v>0</v>
      </c>
      <c r="X13" s="1" t="str">
        <f t="shared" ref="X13:X23" ca="1" si="14">IF(AND(Fonte&lt;&gt;"",Código&lt;&gt;""),MATCH(Fonte&amp;" "&amp;IF(Fonte="sinapi",SUBSTITUTE(SUBSTITUTE(Código,"/00","/"),"/0","/"),Código),INDIRECT("'[Referência "&amp;_xlnm.Database&amp;".xls]Banco'!$a:$a"),0),"X")</f>
        <v>X</v>
      </c>
      <c r="Y13" s="103">
        <v>0</v>
      </c>
      <c r="Z13" s="113">
        <f ca="1">ROUND(IF(ISNUMBER(R13),R13,IF(LEFT(R13,3)="BDI",HLOOKUP(R13,DADOS!$T$37:$X$38,2,FALSE),0)),15-11*$X$5)</f>
        <v>0.21859999999999999</v>
      </c>
      <c r="AA13" s="1"/>
    </row>
    <row r="14" spans="1:27" x14ac:dyDescent="0.2">
      <c r="A14">
        <f t="shared" si="0"/>
        <v>2</v>
      </c>
      <c r="B14">
        <f t="shared" ca="1" si="1"/>
        <v>5</v>
      </c>
      <c r="C14">
        <f t="shared" ca="1" si="2"/>
        <v>1</v>
      </c>
      <c r="D14">
        <f t="shared" ca="1" si="3"/>
        <v>1</v>
      </c>
      <c r="E14">
        <f t="shared" ca="1" si="4"/>
        <v>0</v>
      </c>
      <c r="F14">
        <f t="shared" ca="1" si="5"/>
        <v>0</v>
      </c>
      <c r="G14">
        <f t="shared" ca="1" si="6"/>
        <v>0</v>
      </c>
      <c r="H14">
        <f t="shared" ca="1" si="7"/>
        <v>14</v>
      </c>
      <c r="I14">
        <f t="shared" ca="1" si="8"/>
        <v>5</v>
      </c>
      <c r="J14" s="353" t="s">
        <v>100</v>
      </c>
      <c r="K14" s="138" t="str">
        <f t="shared" ca="1" si="9"/>
        <v>1.1.</v>
      </c>
      <c r="L14" s="354" t="s">
        <v>231</v>
      </c>
      <c r="M14" s="354" t="s">
        <v>232</v>
      </c>
      <c r="N14" s="355" t="s">
        <v>237</v>
      </c>
      <c r="O14" s="356" t="s">
        <v>106</v>
      </c>
      <c r="P14" s="192">
        <f ca="1">OFFSET(PLQ!$E$12,ROW($P14)-ROW(P$12),0)</f>
        <v>0</v>
      </c>
      <c r="Q14" s="196"/>
      <c r="R14" s="199" t="s">
        <v>7</v>
      </c>
      <c r="S14" s="103">
        <f t="shared" si="10"/>
        <v>0</v>
      </c>
      <c r="T14" s="83">
        <f t="shared" ca="1" si="11"/>
        <v>0</v>
      </c>
      <c r="U14" s="9" t="str">
        <f t="shared" ca="1" si="12"/>
        <v>SEM VALOR</v>
      </c>
      <c r="V14" s="1">
        <f ca="1">IF(OR($A14=0,$A14="S",$A14&gt;CFF!$A$9),"",MAX(V$12:OFFSET(V14,-1,0))+1)</f>
        <v>2</v>
      </c>
      <c r="W14" s="4" t="b">
        <f>IF(AND($J14="Serviço",$M14&lt;&gt;""),IF($L14="",$M14,CONCATENATE($L14,"-",$M14)))</f>
        <v>0</v>
      </c>
      <c r="X14" s="1" t="e">
        <f t="shared" ca="1" si="14"/>
        <v>#N/A</v>
      </c>
      <c r="Y14" s="103">
        <v>0</v>
      </c>
      <c r="Z14" s="113">
        <f ca="1">ROUND(IF(ISNUMBER(R14),R14,IF(LEFT(R14,3)="BDI",HLOOKUP(R14,DADOS!$T$37:$X$38,2,FALSE),0)),15-11*$X$5)</f>
        <v>0.21859999999999999</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353" t="s">
        <v>103</v>
      </c>
      <c r="K15" s="138" t="str">
        <f ca="1">IF($A15=0,"-",CONCATENATE(C15&amp;".",IF(AND($A$5&gt;=2,$A15&gt;=2),D15&amp;".",""),IF(AND($A$5&gt;=3,$A15&gt;=3),E15&amp;".",""),IF(AND($A$5&gt;=4,$A15&gt;=4),F15&amp;".",""),IF($A15="S",G15&amp;".","")))</f>
        <v>1.1.1.</v>
      </c>
      <c r="L15" s="354" t="s">
        <v>238</v>
      </c>
      <c r="M15" s="354" t="s">
        <v>239</v>
      </c>
      <c r="N15" s="355" t="s">
        <v>269</v>
      </c>
      <c r="O15" s="356" t="s">
        <v>286</v>
      </c>
      <c r="P15" s="192">
        <f ca="1">OFFSET(PLQ!$E$12,ROW($P15)-ROW(P$12),0)</f>
        <v>2295.7199999999998</v>
      </c>
      <c r="Q15" s="196"/>
      <c r="R15" s="199" t="s">
        <v>7</v>
      </c>
      <c r="S15" s="103">
        <f>IF($A15="S",IF($Q$10="Preço Unitário (R$)",PO.CustoUnitario,ROUND(PO.CustoUnitario*(1+$Z15),15-13*$X$6)),0)</f>
        <v>0</v>
      </c>
      <c r="T15" s="83">
        <f ca="1">IF($A15="S",VTOTAL1,IF($A15=0,0,ROUND(SomaAgrup,15-13*$X$7)))</f>
        <v>0</v>
      </c>
      <c r="U15" s="9" t="str">
        <f ca="1">IF($J15="","",IF($N15="","DESCRIÇÃO",IF(AND($J15="Serviço",$O15=""),"UNIDADE",IF($T15&lt;=0,"SEM VALOR",IF(AND($Y15&lt;&gt;"",$Q15&gt;$Y15),"ACIMA REF.","")))))</f>
        <v>SEM VALOR</v>
      </c>
      <c r="V15" s="1" t="str">
        <f ca="1">IF(OR($A15=0,$A15="S",$A15&gt;CFF!$A$9),"",MAX(V$12:OFFSET(V15,-1,0))+1)</f>
        <v/>
      </c>
      <c r="W15" s="4" t="str">
        <f>IF(AND($J15="Serviço",$M15&lt;&gt;""),IF($L15="",$M15,CONCATENATE($L15,"-",$M15)))</f>
        <v>COMPOSIÇÃO-01</v>
      </c>
      <c r="X15" s="1">
        <f ca="1">IF(AND(Fonte&lt;&gt;"",Código&lt;&gt;""),MATCH(Fonte&amp;" "&amp;IF(Fonte="sinapi",SUBSTITUTE(SUBSTITUTE(Código,"/00","/"),"/0","/"),Código),INDIRECT("'[Referência "&amp;_xlnm.Database&amp;".xls]Banco'!$a:$a"),0),"X")</f>
        <v>7</v>
      </c>
      <c r="Y15" s="103">
        <v>0.54</v>
      </c>
      <c r="Z15" s="113">
        <f ca="1">ROUND(IF(ISNUMBER(R15),R15,IF(LEFT(R15,3)="BDI",HLOOKUP(R15,DADOS!$T$37:$X$38,2,FALSE),0)),15-11*$X$5)</f>
        <v>0.21859999999999999</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353" t="s">
        <v>103</v>
      </c>
      <c r="K16" s="138" t="str">
        <f t="shared" ca="1" si="9"/>
        <v>1.1.2.</v>
      </c>
      <c r="L16" s="354" t="s">
        <v>238</v>
      </c>
      <c r="M16" s="354" t="s">
        <v>240</v>
      </c>
      <c r="N16" s="355" t="s">
        <v>270</v>
      </c>
      <c r="O16" s="356" t="s">
        <v>286</v>
      </c>
      <c r="P16" s="192">
        <f ca="1">OFFSET(PLQ!$E$12,ROW($P16)-ROW(P$12),0)</f>
        <v>2.88</v>
      </c>
      <c r="Q16" s="196"/>
      <c r="R16" s="199" t="s">
        <v>7</v>
      </c>
      <c r="S16" s="103">
        <f t="shared" si="10"/>
        <v>0</v>
      </c>
      <c r="T16" s="83">
        <f t="shared" ca="1" si="11"/>
        <v>0</v>
      </c>
      <c r="U16" s="9" t="str">
        <f t="shared" ca="1" si="12"/>
        <v>SEM VALOR</v>
      </c>
      <c r="V16" s="1" t="str">
        <f ca="1">IF(OR($A16=0,$A16="S",$A16&gt;CFF!$A$9),"",MAX(V$12:OFFSET(V16,-1,0))+1)</f>
        <v/>
      </c>
      <c r="W16" s="4" t="str">
        <f t="shared" si="13"/>
        <v>COMPOSIÇÃO-02</v>
      </c>
      <c r="X16" s="1">
        <f t="shared" ca="1" si="14"/>
        <v>8</v>
      </c>
      <c r="Y16" s="103">
        <v>378.33</v>
      </c>
      <c r="Z16" s="113">
        <f ca="1">ROUND(IF(ISNUMBER(R16),R16,IF(LEFT(R16,3)="BDI",HLOOKUP(R16,DADOS!$T$37:$X$38,2,FALSE),0)),15-11*$X$5)</f>
        <v>0.21859999999999999</v>
      </c>
      <c r="AA16" s="1"/>
    </row>
    <row r="17" spans="1:27" x14ac:dyDescent="0.2">
      <c r="A17" t="str">
        <f t="shared" ref="A17:A22" si="15">CHOOSE(1+LOG(1+2*(J17="Meta")+4*(J17="Nível 2")+8*(J17="Nível 3")+16*(J17="Nível 4")+32*(J17="Serviço"),2),0,1,2,3,4,"S")</f>
        <v>S</v>
      </c>
      <c r="B17">
        <f t="shared" ref="B17:B22" si="16">IF(OR(A17="S",A17=0),0,IF(ISERROR(I17),H17,SMALL(H17:I17,1)))</f>
        <v>0</v>
      </c>
      <c r="C17">
        <f t="shared" ref="C17:C22" ca="1" si="17">IF($A17=1,OFFSET(C17,-1,0)+1,OFFSET(C17,-1,0))</f>
        <v>1</v>
      </c>
      <c r="D17">
        <f t="shared" ref="D17:D22" ca="1" si="18">IF($A17=1,0,IF($A17=2,OFFSET(D17,-1,0)+1,OFFSET(D17,-1,0)))</f>
        <v>1</v>
      </c>
      <c r="E17">
        <f t="shared" ref="E17:E22" ca="1" si="19">IF(AND($A17&lt;=2,$A17&lt;&gt;0),0,IF($A17=3,OFFSET(E17,-1,0)+1,OFFSET(E17,-1,0)))</f>
        <v>0</v>
      </c>
      <c r="F17">
        <f t="shared" ref="F17:F22" ca="1" si="20">IF(AND($A17&lt;=3,$A17&lt;&gt;0),0,IF($A17=4,OFFSET(F17,-1,0)+1,OFFSET(F17,-1,0)))</f>
        <v>0</v>
      </c>
      <c r="G17">
        <f t="shared" ref="G17:G22" ca="1" si="21">IF(AND($A17&lt;=4,$A17&lt;&gt;0),0,IF($A17="S",OFFSET(G17,-1,0)+1,OFFSET(G17,-1,0)))</f>
        <v>3</v>
      </c>
      <c r="H17">
        <f t="shared" ca="1" si="7"/>
        <v>0</v>
      </c>
      <c r="I17">
        <f t="shared" ca="1" si="8"/>
        <v>0</v>
      </c>
      <c r="J17" s="353" t="s">
        <v>103</v>
      </c>
      <c r="K17" s="138" t="str">
        <f t="shared" ref="K17:K22" ca="1" si="22">IF($A17=0,"-",CONCATENATE(C17&amp;".",IF(AND($A$5&gt;=2,$A17&gt;=2),D17&amp;".",""),IF(AND($A$5&gt;=3,$A17&gt;=3),E17&amp;".",""),IF(AND($A$5&gt;=4,$A17&gt;=4),F17&amp;".",""),IF($A17="S",G17&amp;".","")))</f>
        <v>1.1.3.</v>
      </c>
      <c r="L17" s="354" t="s">
        <v>231</v>
      </c>
      <c r="M17" s="354" t="s">
        <v>244</v>
      </c>
      <c r="N17" s="355" t="s">
        <v>271</v>
      </c>
      <c r="O17" s="356" t="s">
        <v>286</v>
      </c>
      <c r="P17" s="192">
        <f ca="1">OFFSET(PLQ!$E$12,ROW($P17)-ROW(P$12),0)</f>
        <v>2295.7199999999998</v>
      </c>
      <c r="Q17" s="196"/>
      <c r="R17" s="199" t="s">
        <v>7</v>
      </c>
      <c r="S17" s="103">
        <f t="shared" ref="S17:S22" si="23">IF($A17="S",IF($Q$10="Preço Unitário (R$)",PO.CustoUnitario,ROUND(PO.CustoUnitario*(1+$Z17),15-13*$X$6)),0)</f>
        <v>0</v>
      </c>
      <c r="T17" s="83">
        <f t="shared" ref="T17:T22" ca="1" si="24">IF($A17="S",VTOTAL1,IF($A17=0,0,ROUND(SomaAgrup,15-13*$X$7)))</f>
        <v>0</v>
      </c>
      <c r="U17" s="9" t="str">
        <f t="shared" ref="U17:U22" ca="1" si="25">IF($J17="","",IF($N17="","DESCRIÇÃO",IF(AND($J17="Serviço",$O17=""),"UNIDADE",IF($T17&lt;=0,"SEM VALOR",IF(AND($Y17&lt;&gt;"",$Q17&gt;$Y17),"ACIMA REF.","")))))</f>
        <v>SEM VALOR</v>
      </c>
      <c r="V17" s="1" t="str">
        <f ca="1">IF(OR($A17=0,$A17="S",$A17&gt;CFF!$A$9),"",MAX(V$12:OFFSET(V17,-1,0))+1)</f>
        <v/>
      </c>
      <c r="W17" s="4" t="str">
        <f t="shared" ref="W17:W22" si="26">IF(AND($J17="Serviço",$M17&lt;&gt;""),IF($L17="",$M17,CONCATENATE($L17,"-",$M17)))</f>
        <v>SINAPI-99814</v>
      </c>
      <c r="X17" s="1">
        <f t="shared" ref="X17:X22" ca="1" si="27">IF(AND(Fonte&lt;&gt;"",Código&lt;&gt;""),MATCH(Fonte&amp;" "&amp;IF(Fonte="sinapi",SUBSTITUTE(SUBSTITUTE(Código,"/00","/"),"/0","/"),Código),INDIRECT("'[Referência "&amp;_xlnm.Database&amp;".xls]Banco'!$a:$a"),0),"X")</f>
        <v>12743</v>
      </c>
      <c r="Y17" s="103">
        <v>2.6</v>
      </c>
      <c r="Z17" s="113">
        <f ca="1">ROUND(IF(ISNUMBER(R17),R17,IF(LEFT(R17,3)="BDI",HLOOKUP(R17,DADOS!$T$37:$X$38,2,FALSE),0)),15-11*$X$5)</f>
        <v>0.21859999999999999</v>
      </c>
      <c r="AA17" s="1"/>
    </row>
    <row r="18" spans="1:27" x14ac:dyDescent="0.2">
      <c r="A18" t="str">
        <f t="shared" si="15"/>
        <v>S</v>
      </c>
      <c r="B18">
        <f t="shared" si="16"/>
        <v>0</v>
      </c>
      <c r="C18">
        <f t="shared" ca="1" si="17"/>
        <v>1</v>
      </c>
      <c r="D18">
        <f t="shared" ca="1" si="18"/>
        <v>1</v>
      </c>
      <c r="E18">
        <f t="shared" ca="1" si="19"/>
        <v>0</v>
      </c>
      <c r="F18">
        <f t="shared" ca="1" si="20"/>
        <v>0</v>
      </c>
      <c r="G18">
        <f t="shared" ca="1" si="21"/>
        <v>4</v>
      </c>
      <c r="H18">
        <f t="shared" ca="1" si="7"/>
        <v>0</v>
      </c>
      <c r="I18">
        <f t="shared" ca="1" si="8"/>
        <v>0</v>
      </c>
      <c r="J18" s="353" t="s">
        <v>103</v>
      </c>
      <c r="K18" s="138" t="str">
        <f t="shared" ca="1" si="22"/>
        <v>1.1.4.</v>
      </c>
      <c r="L18" s="354" t="s">
        <v>238</v>
      </c>
      <c r="M18" s="354" t="s">
        <v>241</v>
      </c>
      <c r="N18" s="355" t="s">
        <v>272</v>
      </c>
      <c r="O18" s="356" t="s">
        <v>287</v>
      </c>
      <c r="P18" s="192">
        <f ca="1">OFFSET(PLQ!$E$12,ROW($P18)-ROW(P$12),0)</f>
        <v>1</v>
      </c>
      <c r="Q18" s="196"/>
      <c r="R18" s="199" t="s">
        <v>7</v>
      </c>
      <c r="S18" s="103">
        <f t="shared" si="23"/>
        <v>0</v>
      </c>
      <c r="T18" s="83">
        <f t="shared" ca="1" si="24"/>
        <v>0</v>
      </c>
      <c r="U18" s="9" t="str">
        <f t="shared" ca="1" si="25"/>
        <v>SEM VALOR</v>
      </c>
      <c r="V18" s="1" t="str">
        <f ca="1">IF(OR($A18=0,$A18="S",$A18&gt;CFF!$A$9),"",MAX(V$12:OFFSET(V18,-1,0))+1)</f>
        <v/>
      </c>
      <c r="W18" s="4" t="str">
        <f t="shared" si="26"/>
        <v>COMPOSIÇÃO-03</v>
      </c>
      <c r="X18" s="1">
        <f t="shared" ca="1" si="27"/>
        <v>9</v>
      </c>
      <c r="Y18" s="103">
        <v>3653.08</v>
      </c>
      <c r="Z18" s="113">
        <f ca="1">ROUND(IF(ISNUMBER(R18),R18,IF(LEFT(R18,3)="BDI",HLOOKUP(R18,DADOS!$T$37:$X$38,2,FALSE),0)),15-11*$X$5)</f>
        <v>0.21859999999999999</v>
      </c>
      <c r="AA18" s="1"/>
    </row>
    <row r="19" spans="1:27" x14ac:dyDescent="0.2">
      <c r="A19">
        <f t="shared" si="15"/>
        <v>2</v>
      </c>
      <c r="B19">
        <f t="shared" ca="1" si="16"/>
        <v>9</v>
      </c>
      <c r="C19">
        <f t="shared" ca="1" si="17"/>
        <v>1</v>
      </c>
      <c r="D19">
        <f t="shared" ca="1" si="18"/>
        <v>2</v>
      </c>
      <c r="E19">
        <f t="shared" ca="1" si="19"/>
        <v>0</v>
      </c>
      <c r="F19">
        <f t="shared" ca="1" si="20"/>
        <v>0</v>
      </c>
      <c r="G19">
        <f t="shared" ca="1" si="21"/>
        <v>0</v>
      </c>
      <c r="H19">
        <f t="shared" ca="1" si="7"/>
        <v>9</v>
      </c>
      <c r="I19" t="e">
        <f t="shared" ca="1" si="8"/>
        <v>#N/A</v>
      </c>
      <c r="J19" s="353" t="s">
        <v>100</v>
      </c>
      <c r="K19" s="138" t="str">
        <f t="shared" ca="1" si="22"/>
        <v>1.2.</v>
      </c>
      <c r="L19" s="354"/>
      <c r="M19" s="354"/>
      <c r="N19" s="355" t="s">
        <v>257</v>
      </c>
      <c r="O19" s="356" t="s">
        <v>106</v>
      </c>
      <c r="P19" s="192">
        <f ca="1">OFFSET(PLQ!$E$12,ROW($P19)-ROW(P$12),0)</f>
        <v>0</v>
      </c>
      <c r="Q19" s="196"/>
      <c r="R19" s="199" t="s">
        <v>7</v>
      </c>
      <c r="S19" s="103">
        <f t="shared" si="23"/>
        <v>0</v>
      </c>
      <c r="T19" s="83">
        <f t="shared" ca="1" si="24"/>
        <v>0</v>
      </c>
      <c r="U19" s="9" t="str">
        <f t="shared" ca="1" si="25"/>
        <v>SEM VALOR</v>
      </c>
      <c r="V19" s="1">
        <f ca="1">IF(OR($A19=0,$A19="S",$A19&gt;CFF!$A$9),"",MAX(V$12:OFFSET(V19,-1,0))+1)</f>
        <v>3</v>
      </c>
      <c r="W19" s="4" t="b">
        <f t="shared" si="26"/>
        <v>0</v>
      </c>
      <c r="X19" s="1" t="str">
        <f t="shared" ca="1" si="27"/>
        <v>X</v>
      </c>
      <c r="Y19" s="103">
        <v>0</v>
      </c>
      <c r="Z19" s="113">
        <f ca="1">ROUND(IF(ISNUMBER(R19),R19,IF(LEFT(R19,3)="BDI",HLOOKUP(R19,DADOS!$T$37:$X$38,2,FALSE),0)),15-11*$X$5)</f>
        <v>0.21859999999999999</v>
      </c>
      <c r="AA19" s="1"/>
    </row>
    <row r="20" spans="1:27" x14ac:dyDescent="0.2">
      <c r="A20" t="str">
        <f t="shared" si="15"/>
        <v>S</v>
      </c>
      <c r="B20">
        <f t="shared" si="16"/>
        <v>0</v>
      </c>
      <c r="C20">
        <f t="shared" ca="1" si="17"/>
        <v>1</v>
      </c>
      <c r="D20">
        <f t="shared" ca="1" si="18"/>
        <v>2</v>
      </c>
      <c r="E20">
        <f t="shared" ca="1" si="19"/>
        <v>0</v>
      </c>
      <c r="F20">
        <f t="shared" ca="1" si="20"/>
        <v>0</v>
      </c>
      <c r="G20">
        <f t="shared" ca="1" si="21"/>
        <v>1</v>
      </c>
      <c r="H20">
        <f t="shared" ca="1" si="7"/>
        <v>0</v>
      </c>
      <c r="I20">
        <f t="shared" ca="1" si="8"/>
        <v>0</v>
      </c>
      <c r="J20" s="353" t="s">
        <v>103</v>
      </c>
      <c r="K20" s="138" t="str">
        <f t="shared" ca="1" si="22"/>
        <v>1.2.1.</v>
      </c>
      <c r="L20" s="354" t="s">
        <v>238</v>
      </c>
      <c r="M20" s="354" t="s">
        <v>242</v>
      </c>
      <c r="N20" s="355" t="s">
        <v>273</v>
      </c>
      <c r="O20" s="356" t="s">
        <v>288</v>
      </c>
      <c r="P20" s="192">
        <f ca="1">OFFSET(PLQ!$E$12,ROW($P20)-ROW(P$12),0)</f>
        <v>2176.66</v>
      </c>
      <c r="Q20" s="196"/>
      <c r="R20" s="199" t="s">
        <v>7</v>
      </c>
      <c r="S20" s="103">
        <f t="shared" si="23"/>
        <v>0</v>
      </c>
      <c r="T20" s="83">
        <f t="shared" ca="1" si="24"/>
        <v>0</v>
      </c>
      <c r="U20" s="9" t="str">
        <f t="shared" ca="1" si="25"/>
        <v>SEM VALOR</v>
      </c>
      <c r="V20" s="1" t="str">
        <f ca="1">IF(OR($A20=0,$A20="S",$A20&gt;CFF!$A$9),"",MAX(V$12:OFFSET(V20,-1,0))+1)</f>
        <v/>
      </c>
      <c r="W20" s="4" t="str">
        <f t="shared" si="26"/>
        <v>COMPOSIÇÃO-04</v>
      </c>
      <c r="X20" s="1">
        <f t="shared" ca="1" si="27"/>
        <v>10</v>
      </c>
      <c r="Y20" s="103">
        <v>3.51</v>
      </c>
      <c r="Z20" s="113">
        <f ca="1">ROUND(IF(ISNUMBER(R20),R20,IF(LEFT(R20,3)="BDI",HLOOKUP(R20,DADOS!$T$37:$X$38,2,FALSE),0)),15-11*$X$5)</f>
        <v>0.21859999999999999</v>
      </c>
      <c r="AA20" s="1"/>
    </row>
    <row r="21" spans="1:27" ht="25.5" x14ac:dyDescent="0.2">
      <c r="A21" t="str">
        <f t="shared" si="15"/>
        <v>S</v>
      </c>
      <c r="B21">
        <f t="shared" si="16"/>
        <v>0</v>
      </c>
      <c r="C21">
        <f t="shared" ca="1" si="17"/>
        <v>1</v>
      </c>
      <c r="D21">
        <f t="shared" ca="1" si="18"/>
        <v>2</v>
      </c>
      <c r="E21">
        <f t="shared" ca="1" si="19"/>
        <v>0</v>
      </c>
      <c r="F21">
        <f t="shared" ca="1" si="20"/>
        <v>0</v>
      </c>
      <c r="G21">
        <f t="shared" ca="1" si="21"/>
        <v>2</v>
      </c>
      <c r="H21">
        <f t="shared" ca="1" si="7"/>
        <v>0</v>
      </c>
      <c r="I21">
        <f t="shared" ca="1" si="8"/>
        <v>0</v>
      </c>
      <c r="J21" s="353" t="s">
        <v>103</v>
      </c>
      <c r="K21" s="138" t="str">
        <f t="shared" ca="1" si="22"/>
        <v>1.2.2.</v>
      </c>
      <c r="L21" s="354" t="s">
        <v>238</v>
      </c>
      <c r="M21" s="354" t="s">
        <v>245</v>
      </c>
      <c r="N21" s="355" t="s">
        <v>274</v>
      </c>
      <c r="O21" s="356" t="s">
        <v>289</v>
      </c>
      <c r="P21" s="192">
        <f ca="1">OFFSET(PLQ!$E$12,ROW($P21)-ROW(P$12),0)</f>
        <v>65.3</v>
      </c>
      <c r="Q21" s="196"/>
      <c r="R21" s="199" t="s">
        <v>7</v>
      </c>
      <c r="S21" s="103">
        <f t="shared" si="23"/>
        <v>0</v>
      </c>
      <c r="T21" s="83">
        <f t="shared" ca="1" si="24"/>
        <v>0</v>
      </c>
      <c r="U21" s="9" t="str">
        <f t="shared" ca="1" si="25"/>
        <v>SEM VALOR</v>
      </c>
      <c r="V21" s="1" t="str">
        <f ca="1">IF(OR($A21=0,$A21="S",$A21&gt;CFF!$A$9),"",MAX(V$12:OFFSET(V21,-1,0))+1)</f>
        <v/>
      </c>
      <c r="W21" s="4" t="str">
        <f t="shared" si="26"/>
        <v>COMPOSIÇÃO-05</v>
      </c>
      <c r="X21" s="1">
        <f t="shared" ca="1" si="27"/>
        <v>12</v>
      </c>
      <c r="Y21" s="103">
        <v>1542.32</v>
      </c>
      <c r="Z21" s="113">
        <f ca="1">ROUND(IF(ISNUMBER(R21),R21,IF(LEFT(R21,3)="BDI",HLOOKUP(R21,DADOS!$T$37:$X$38,2,FALSE),0)),15-11*$X$5)</f>
        <v>0.21859999999999999</v>
      </c>
      <c r="AA21" s="1"/>
    </row>
    <row r="22" spans="1:27" x14ac:dyDescent="0.2">
      <c r="A22" t="str">
        <f t="shared" si="15"/>
        <v>S</v>
      </c>
      <c r="B22">
        <f t="shared" si="16"/>
        <v>0</v>
      </c>
      <c r="C22">
        <f t="shared" ca="1" si="17"/>
        <v>1</v>
      </c>
      <c r="D22">
        <f t="shared" ca="1" si="18"/>
        <v>2</v>
      </c>
      <c r="E22">
        <f t="shared" ca="1" si="19"/>
        <v>0</v>
      </c>
      <c r="F22">
        <f t="shared" ca="1" si="20"/>
        <v>0</v>
      </c>
      <c r="G22">
        <f t="shared" ca="1" si="21"/>
        <v>3</v>
      </c>
      <c r="H22">
        <f t="shared" ca="1" si="7"/>
        <v>0</v>
      </c>
      <c r="I22">
        <f t="shared" ca="1" si="8"/>
        <v>0</v>
      </c>
      <c r="J22" s="353" t="s">
        <v>103</v>
      </c>
      <c r="K22" s="138" t="str">
        <f t="shared" ca="1" si="22"/>
        <v>1.2.3.</v>
      </c>
      <c r="L22" s="354" t="s">
        <v>238</v>
      </c>
      <c r="M22" s="354" t="s">
        <v>242</v>
      </c>
      <c r="N22" s="355" t="s">
        <v>273</v>
      </c>
      <c r="O22" s="356" t="s">
        <v>288</v>
      </c>
      <c r="P22" s="192">
        <f ca="1">OFFSET(PLQ!$E$12,ROW($P22)-ROW(P$12),0)</f>
        <v>2176.66</v>
      </c>
      <c r="Q22" s="196"/>
      <c r="R22" s="199" t="s">
        <v>7</v>
      </c>
      <c r="S22" s="103">
        <f t="shared" si="23"/>
        <v>0</v>
      </c>
      <c r="T22" s="83">
        <f t="shared" ca="1" si="24"/>
        <v>0</v>
      </c>
      <c r="U22" s="9" t="str">
        <f t="shared" ca="1" si="25"/>
        <v>SEM VALOR</v>
      </c>
      <c r="V22" s="1" t="str">
        <f ca="1">IF(OR($A22=0,$A22="S",$A22&gt;CFF!$A$9),"",MAX(V$12:OFFSET(V22,-1,0))+1)</f>
        <v/>
      </c>
      <c r="W22" s="4" t="str">
        <f t="shared" si="26"/>
        <v>COMPOSIÇÃO-04</v>
      </c>
      <c r="X22" s="1">
        <f t="shared" ca="1" si="27"/>
        <v>10</v>
      </c>
      <c r="Y22" s="103">
        <v>3.51</v>
      </c>
      <c r="Z22" s="113">
        <f ca="1">ROUND(IF(ISNUMBER(R22),R22,IF(LEFT(R22,3)="BDI",HLOOKUP(R22,DADOS!$T$37:$X$38,2,FALSE),0)),15-11*$X$5)</f>
        <v>0.21859999999999999</v>
      </c>
      <c r="AA22" s="1"/>
    </row>
    <row r="23" spans="1:27" ht="25.5" x14ac:dyDescent="0.2">
      <c r="A23" t="str">
        <f t="shared" si="0"/>
        <v>S</v>
      </c>
      <c r="B23">
        <f t="shared" si="1"/>
        <v>0</v>
      </c>
      <c r="C23">
        <f t="shared" ca="1" si="2"/>
        <v>1</v>
      </c>
      <c r="D23">
        <f t="shared" ca="1" si="3"/>
        <v>2</v>
      </c>
      <c r="E23">
        <f t="shared" ca="1" si="4"/>
        <v>0</v>
      </c>
      <c r="F23">
        <f t="shared" ca="1" si="5"/>
        <v>0</v>
      </c>
      <c r="G23">
        <f t="shared" ca="1" si="6"/>
        <v>4</v>
      </c>
      <c r="H23">
        <f t="shared" ca="1" si="7"/>
        <v>0</v>
      </c>
      <c r="I23">
        <f t="shared" ca="1" si="8"/>
        <v>0</v>
      </c>
      <c r="J23" s="353" t="s">
        <v>103</v>
      </c>
      <c r="K23" s="138" t="str">
        <f t="shared" ca="1" si="9"/>
        <v>1.2.4.</v>
      </c>
      <c r="L23" s="354" t="s">
        <v>238</v>
      </c>
      <c r="M23" s="354" t="s">
        <v>250</v>
      </c>
      <c r="N23" s="355" t="s">
        <v>275</v>
      </c>
      <c r="O23" s="356" t="s">
        <v>289</v>
      </c>
      <c r="P23" s="192">
        <f ca="1">OFFSET(PLQ!$E$12,ROW($P23)-ROW(P$12),0)</f>
        <v>65.3</v>
      </c>
      <c r="Q23" s="196"/>
      <c r="R23" s="199" t="s">
        <v>7</v>
      </c>
      <c r="S23" s="103">
        <f t="shared" si="10"/>
        <v>0</v>
      </c>
      <c r="T23" s="83">
        <f t="shared" ca="1" si="11"/>
        <v>0</v>
      </c>
      <c r="U23" s="9" t="str">
        <f t="shared" ca="1" si="12"/>
        <v>SEM VALOR</v>
      </c>
      <c r="V23" s="1" t="str">
        <f ca="1">IF(OR($A23=0,$A23="S",$A23&gt;CFF!$A$9),"",MAX(V$12:OFFSET(V23,-1,0))+1)</f>
        <v/>
      </c>
      <c r="W23" s="4" t="str">
        <f t="shared" si="13"/>
        <v>COMPOSIÇÃO-06</v>
      </c>
      <c r="X23" s="1">
        <f t="shared" ca="1" si="14"/>
        <v>14</v>
      </c>
      <c r="Y23" s="103">
        <v>1699.69</v>
      </c>
      <c r="Z23" s="113">
        <f ca="1">ROUND(IF(ISNUMBER(R23),R23,IF(LEFT(R23,3)="BDI",HLOOKUP(R23,DADOS!$T$37:$X$38,2,FALSE),0)),15-11*$X$5)</f>
        <v>0.21859999999999999</v>
      </c>
      <c r="AA23" s="1"/>
    </row>
    <row r="24" spans="1:27" ht="25.5" x14ac:dyDescent="0.2">
      <c r="A24" t="str">
        <f>CHOOSE(1+LOG(1+2*(J24="Meta")+4*(J24="Nível 2")+8*(J24="Nível 3")+16*(J24="Nível 4")+32*(J24="Serviço"),2),0,1,2,3,4,"S")</f>
        <v>S</v>
      </c>
      <c r="B24">
        <f>IF(OR(A24="S",A24=0),0,IF(ISERROR(I24),H24,SMALL(H24:I24,1)))</f>
        <v>0</v>
      </c>
      <c r="C24">
        <f ca="1">IF($A24=1,OFFSET(C24,-1,0)+1,OFFSET(C24,-1,0))</f>
        <v>1</v>
      </c>
      <c r="D24">
        <f ca="1">IF($A24=1,0,IF($A24=2,OFFSET(D24,-1,0)+1,OFFSET(D24,-1,0)))</f>
        <v>2</v>
      </c>
      <c r="E24">
        <f ca="1">IF(AND($A24&lt;=2,$A24&lt;&gt;0),0,IF($A24=3,OFFSET(E24,-1,0)+1,OFFSET(E24,-1,0)))</f>
        <v>0</v>
      </c>
      <c r="F24">
        <f ca="1">IF(AND($A24&lt;=3,$A24&lt;&gt;0),0,IF($A24=4,OFFSET(F24,-1,0)+1,OFFSET(F24,-1,0)))</f>
        <v>0</v>
      </c>
      <c r="G24">
        <f ca="1">IF(AND($A24&lt;=4,$A24&lt;&gt;0),0,IF($A24="S",OFFSET(G24,-1,0)+1,OFFSET(G24,-1,0)))</f>
        <v>5</v>
      </c>
      <c r="H24">
        <f t="shared" ca="1" si="7"/>
        <v>0</v>
      </c>
      <c r="I24">
        <f t="shared" ca="1" si="8"/>
        <v>0</v>
      </c>
      <c r="J24" s="353" t="s">
        <v>103</v>
      </c>
      <c r="K24" s="138" t="str">
        <f ca="1">IF($A24=0,"-",CONCATENATE(C24&amp;".",IF(AND($A$5&gt;=2,$A24&gt;=2),D24&amp;".",""),IF(AND($A$5&gt;=3,$A24&gt;=3),E24&amp;".",""),IF(AND($A$5&gt;=4,$A24&gt;=4),F24&amp;".",""),IF($A24="S",G24&amp;".","")))</f>
        <v>1.2.5.</v>
      </c>
      <c r="L24" s="354" t="s">
        <v>231</v>
      </c>
      <c r="M24" s="354" t="s">
        <v>252</v>
      </c>
      <c r="N24" s="355" t="s">
        <v>276</v>
      </c>
      <c r="O24" s="356" t="s">
        <v>290</v>
      </c>
      <c r="P24" s="192">
        <f ca="1">OFFSET(PLQ!$E$12,ROW($P24)-ROW(P$12),0)</f>
        <v>6308.1</v>
      </c>
      <c r="Q24" s="196"/>
      <c r="R24" s="199" t="s">
        <v>7</v>
      </c>
      <c r="S24" s="103">
        <f>IF($A24="S",IF($Q$10="Preço Unitário (R$)",PO.CustoUnitario,ROUND(PO.CustoUnitario*(1+$Z24),15-13*$X$6)),0)</f>
        <v>0</v>
      </c>
      <c r="T24" s="83">
        <f ca="1">IF($A24="S",VTOTAL1,IF($A24=0,0,ROUND(SomaAgrup,15-13*$X$7)))</f>
        <v>0</v>
      </c>
      <c r="U24" s="9" t="str">
        <f ca="1">IF($J24="","",IF($N24="","DESCRIÇÃO",IF(AND($J24="Serviço",$O24=""),"UNIDADE",IF($T24&lt;=0,"SEM VALOR",IF(AND($Y24&lt;&gt;"",$Q24&gt;$Y24),"ACIMA REF.","")))))</f>
        <v>SEM VALOR</v>
      </c>
      <c r="V24" s="1" t="str">
        <f ca="1">IF(OR($A24=0,$A24="S",$A24&gt;CFF!$A$9),"",MAX(V$12:OFFSET(V24,-1,0))+1)</f>
        <v/>
      </c>
      <c r="W24" s="4" t="str">
        <f>IF(AND($J24="Serviço",$M24&lt;&gt;""),IF($L24="",$M24,CONCATENATE($L24,"-",$M24)))</f>
        <v>SINAPI-95875</v>
      </c>
      <c r="X24" s="1">
        <f ca="1">IF(AND(Fonte&lt;&gt;"",Código&lt;&gt;""),MATCH(Fonte&amp;" "&amp;IF(Fonte="sinapi",SUBSTITUTE(SUBSTITUTE(Código,"/00","/"),"/0","/"),Código),INDIRECT("'[Referência "&amp;_xlnm.Database&amp;".xls]Banco'!$a:$a"),0),"X")</f>
        <v>15308</v>
      </c>
      <c r="Y24" s="103">
        <v>3.18</v>
      </c>
      <c r="Z24" s="113">
        <f ca="1">ROUND(IF(ISNUMBER(R24),R24,IF(LEFT(R24,3)="BDI",HLOOKUP(R24,DADOS!$T$37:$X$38,2,FALSE),0)),15-11*$X$5)</f>
        <v>0.21859999999999999</v>
      </c>
      <c r="AA24" s="1"/>
    </row>
    <row r="25" spans="1:27" ht="25.5" x14ac:dyDescent="0.2">
      <c r="A25" t="str">
        <f>CHOOSE(1+LOG(1+2*(J25="Meta")+4*(J25="Nível 2")+8*(J25="Nível 3")+16*(J25="Nível 4")+32*(J25="Serviço"),2),0,1,2,3,4,"S")</f>
        <v>S</v>
      </c>
      <c r="B25">
        <f>IF(OR(A25="S",A25=0),0,IF(ISERROR(I25),H25,SMALL(H25:I25,1)))</f>
        <v>0</v>
      </c>
      <c r="C25">
        <f ca="1">IF($A25=1,OFFSET(C25,-1,0)+1,OFFSET(C25,-1,0))</f>
        <v>1</v>
      </c>
      <c r="D25">
        <f ca="1">IF($A25=1,0,IF($A25=2,OFFSET(D25,-1,0)+1,OFFSET(D25,-1,0)))</f>
        <v>2</v>
      </c>
      <c r="E25">
        <f ca="1">IF(AND($A25&lt;=2,$A25&lt;&gt;0),0,IF($A25=3,OFFSET(E25,-1,0)+1,OFFSET(E25,-1,0)))</f>
        <v>0</v>
      </c>
      <c r="F25">
        <f ca="1">IF(AND($A25&lt;=3,$A25&lt;&gt;0),0,IF($A25=4,OFFSET(F25,-1,0)+1,OFFSET(F25,-1,0)))</f>
        <v>0</v>
      </c>
      <c r="G25">
        <f ca="1">IF(AND($A25&lt;=4,$A25&lt;&gt;0),0,IF($A25="S",OFFSET(G25,-1,0)+1,OFFSET(G25,-1,0)))</f>
        <v>6</v>
      </c>
      <c r="H25">
        <f t="shared" ca="1" si="7"/>
        <v>0</v>
      </c>
      <c r="I25">
        <f t="shared" ca="1" si="8"/>
        <v>0</v>
      </c>
      <c r="J25" s="353" t="s">
        <v>103</v>
      </c>
      <c r="K25" s="138" t="str">
        <f ca="1">IF($A25=0,"-",CONCATENATE(C25&amp;".",IF(AND($A$5&gt;=2,$A25&gt;=2),D25&amp;".",""),IF(AND($A$5&gt;=3,$A25&gt;=3),E25&amp;".",""),IF(AND($A$5&gt;=4,$A25&gt;=4),F25&amp;".",""),IF($A25="S",G25&amp;".","")))</f>
        <v>1.2.6.</v>
      </c>
      <c r="L25" s="354" t="s">
        <v>231</v>
      </c>
      <c r="M25" s="354" t="s">
        <v>258</v>
      </c>
      <c r="N25" s="355" t="s">
        <v>277</v>
      </c>
      <c r="O25" s="356" t="s">
        <v>290</v>
      </c>
      <c r="P25" s="192">
        <f ca="1">OFFSET(PLQ!$E$12,ROW($P25)-ROW(P$12),0)</f>
        <v>357.46</v>
      </c>
      <c r="Q25" s="196"/>
      <c r="R25" s="199" t="s">
        <v>7</v>
      </c>
      <c r="S25" s="103">
        <f>IF($A25="S",IF($Q$10="Preço Unitário (R$)",PO.CustoUnitario,ROUND(PO.CustoUnitario*(1+$Z25),15-13*$X$6)),0)</f>
        <v>0</v>
      </c>
      <c r="T25" s="83">
        <f ca="1">IF($A25="S",VTOTAL1,IF($A25=0,0,ROUND(SomaAgrup,15-13*$X$7)))</f>
        <v>0</v>
      </c>
      <c r="U25" s="9" t="str">
        <f ca="1">IF($J25="","",IF($N25="","DESCRIÇÃO",IF(AND($J25="Serviço",$O25=""),"UNIDADE",IF($T25&lt;=0,"SEM VALOR",IF(AND($Y25&lt;&gt;"",$Q25&gt;$Y25),"ACIMA REF.","")))))</f>
        <v>SEM VALOR</v>
      </c>
      <c r="V25" s="1" t="str">
        <f ca="1">IF(OR($A25=0,$A25="S",$A25&gt;CFF!$A$9),"",MAX(V$12:OFFSET(V25,-1,0))+1)</f>
        <v/>
      </c>
      <c r="W25" s="4" t="str">
        <f>IF(AND($J25="Serviço",$M25&lt;&gt;""),IF($L25="",$M25,CONCATENATE($L25,"-",$M25)))</f>
        <v>SINAPI-93590</v>
      </c>
      <c r="X25" s="1">
        <f ca="1">IF(AND(Fonte&lt;&gt;"",Código&lt;&gt;""),MATCH(Fonte&amp;" "&amp;IF(Fonte="sinapi",SUBSTITUTE(SUBSTITUTE(Código,"/00","/"),"/0","/"),Código),INDIRECT("'[Referência "&amp;_xlnm.Database&amp;".xls]Banco'!$a:$a"),0),"X")</f>
        <v>15306</v>
      </c>
      <c r="Y25" s="103">
        <v>1.24</v>
      </c>
      <c r="Z25" s="113">
        <f ca="1">ROUND(IF(ISNUMBER(R25),R25,IF(LEFT(R25,3)="BDI",HLOOKUP(R25,DADOS!$T$37:$X$38,2,FALSE),0)),15-11*$X$5)</f>
        <v>0.21859999999999999</v>
      </c>
      <c r="AA25" s="1"/>
    </row>
    <row r="26" spans="1:27" ht="25.5" x14ac:dyDescent="0.2">
      <c r="A26" t="str">
        <f t="shared" ref="A26:A27" si="28">CHOOSE(1+LOG(1+2*(J26="Meta")+4*(J26="Nível 2")+8*(J26="Nível 3")+16*(J26="Nível 4")+32*(J26="Serviço"),2),0,1,2,3,4,"S")</f>
        <v>S</v>
      </c>
      <c r="B26">
        <f t="shared" ref="B26:B27" si="29">IF(OR(A26="S",A26=0),0,IF(ISERROR(I26),H26,SMALL(H26:I26,1)))</f>
        <v>0</v>
      </c>
      <c r="C26">
        <f t="shared" ref="C26:C27" ca="1" si="30">IF($A26=1,OFFSET(C26,-1,0)+1,OFFSET(C26,-1,0))</f>
        <v>1</v>
      </c>
      <c r="D26">
        <f t="shared" ref="D26:D27" ca="1" si="31">IF($A26=1,0,IF($A26=2,OFFSET(D26,-1,0)+1,OFFSET(D26,-1,0)))</f>
        <v>2</v>
      </c>
      <c r="E26">
        <f t="shared" ref="E26:E27" ca="1" si="32">IF(AND($A26&lt;=2,$A26&lt;&gt;0),0,IF($A26=3,OFFSET(E26,-1,0)+1,OFFSET(E26,-1,0)))</f>
        <v>0</v>
      </c>
      <c r="F26">
        <f t="shared" ref="F26:F27" ca="1" si="33">IF(AND($A26&lt;=3,$A26&lt;&gt;0),0,IF($A26=4,OFFSET(F26,-1,0)+1,OFFSET(F26,-1,0)))</f>
        <v>0</v>
      </c>
      <c r="G26">
        <f t="shared" ref="G26:G27" ca="1" si="34">IF(AND($A26&lt;=4,$A26&lt;&gt;0),0,IF($A26="S",OFFSET(G26,-1,0)+1,OFFSET(G26,-1,0)))</f>
        <v>7</v>
      </c>
      <c r="H26">
        <f t="shared" ca="1" si="7"/>
        <v>0</v>
      </c>
      <c r="I26">
        <f t="shared" ca="1" si="8"/>
        <v>0</v>
      </c>
      <c r="J26" s="353" t="s">
        <v>103</v>
      </c>
      <c r="K26" s="138" t="str">
        <f t="shared" ref="K26:K27" ca="1" si="35">IF($A26=0,"-",CONCATENATE(C26&amp;".",IF(AND($A$5&gt;=2,$A26&gt;=2),D26&amp;".",""),IF(AND($A$5&gt;=3,$A26&gt;=3),E26&amp;".",""),IF(AND($A$5&gt;=4,$A26&gt;=4),F26&amp;".",""),IF($A26="S",G26&amp;".","")))</f>
        <v>1.2.7.</v>
      </c>
      <c r="L26" s="354" t="s">
        <v>231</v>
      </c>
      <c r="M26" s="354" t="s">
        <v>259</v>
      </c>
      <c r="N26" s="355" t="s">
        <v>278</v>
      </c>
      <c r="O26" s="356" t="s">
        <v>291</v>
      </c>
      <c r="P26" s="192">
        <f ca="1">OFFSET(PLQ!$E$12,ROW($P26)-ROW(P$12),0)</f>
        <v>522.99</v>
      </c>
      <c r="Q26" s="196"/>
      <c r="R26" s="199" t="s">
        <v>7</v>
      </c>
      <c r="S26" s="103">
        <f>IF($A26="S",IF($Q$10="Preço Unitário (R$)",PO.CustoUnitario,ROUND(PO.CustoUnitario*(1+$Z26),15-13*$X$6)),0)</f>
        <v>0</v>
      </c>
      <c r="T26" s="83">
        <f ca="1">IF($A26="S",VTOTAL1,IF($A26=0,0,ROUND(SomaAgrup,15-13*$X$7)))</f>
        <v>0</v>
      </c>
      <c r="U26" s="9" t="str">
        <f t="shared" ref="U26:U27" ca="1" si="36">IF($J26="","",IF($N26="","DESCRIÇÃO",IF(AND($J26="Serviço",$O26=""),"UNIDADE",IF($T26&lt;=0,"SEM VALOR",IF(AND($Y26&lt;&gt;"",$Q26&gt;$Y26),"ACIMA REF.","")))))</f>
        <v>SEM VALOR</v>
      </c>
      <c r="V26" s="1" t="str">
        <f ca="1">IF(OR($A26=0,$A26="S",$A26&gt;CFF!$A$9),"",MAX(V$12:OFFSET(V26,-1,0))+1)</f>
        <v/>
      </c>
      <c r="W26" s="4" t="str">
        <f t="shared" ref="W26:W27" si="37">IF(AND($J26="Serviço",$M26&lt;&gt;""),IF($L26="",$M26,CONCATENATE($L26,"-",$M26)))</f>
        <v>SINAPI-102330</v>
      </c>
      <c r="X26" s="1">
        <f ca="1">IF(AND(Fonte&lt;&gt;"",Código&lt;&gt;""),MATCH(Fonte&amp;" "&amp;IF(Fonte="sinapi",SUBSTITUTE(SUBSTITUTE(Código,"/00","/"),"/0","/"),Código),INDIRECT("'[Referência "&amp;_xlnm.Database&amp;".xls]Banco'!$a:$a"),0),"X")</f>
        <v>15367</v>
      </c>
      <c r="Y26" s="103">
        <v>1.82</v>
      </c>
      <c r="Z26" s="113">
        <f ca="1">ROUND(IF(ISNUMBER(R26),R26,IF(LEFT(R26,3)="BDI",HLOOKUP(R26,DADOS!$T$37:$X$38,2,FALSE),0)),15-11*$X$5)</f>
        <v>0.21859999999999999</v>
      </c>
      <c r="AA26" s="1"/>
    </row>
    <row r="27" spans="1:27" ht="25.5" x14ac:dyDescent="0.2">
      <c r="A27" t="str">
        <f t="shared" si="28"/>
        <v>S</v>
      </c>
      <c r="B27">
        <f t="shared" si="29"/>
        <v>0</v>
      </c>
      <c r="C27">
        <f t="shared" ca="1" si="30"/>
        <v>1</v>
      </c>
      <c r="D27">
        <f t="shared" ca="1" si="31"/>
        <v>2</v>
      </c>
      <c r="E27">
        <f t="shared" ca="1" si="32"/>
        <v>0</v>
      </c>
      <c r="F27">
        <f t="shared" ca="1" si="33"/>
        <v>0</v>
      </c>
      <c r="G27">
        <f t="shared" ca="1" si="34"/>
        <v>8</v>
      </c>
      <c r="H27">
        <f t="shared" ca="1" si="7"/>
        <v>0</v>
      </c>
      <c r="I27">
        <f t="shared" ca="1" si="8"/>
        <v>0</v>
      </c>
      <c r="J27" s="353" t="s">
        <v>103</v>
      </c>
      <c r="K27" s="138" t="str">
        <f t="shared" ca="1" si="35"/>
        <v>1.2.8.</v>
      </c>
      <c r="L27" s="354" t="s">
        <v>231</v>
      </c>
      <c r="M27" s="354" t="s">
        <v>260</v>
      </c>
      <c r="N27" s="355" t="s">
        <v>279</v>
      </c>
      <c r="O27" s="356" t="s">
        <v>291</v>
      </c>
      <c r="P27" s="192">
        <f ca="1">OFFSET(PLQ!$E$12,ROW($P27)-ROW(P$12),0)</f>
        <v>7862.29</v>
      </c>
      <c r="Q27" s="196"/>
      <c r="R27" s="199" t="s">
        <v>7</v>
      </c>
      <c r="S27" s="103">
        <f>IF($A27="S",IF($Q$10="Preço Unitário (R$)",PO.CustoUnitario,ROUND(PO.CustoUnitario*(1+$Z27),15-13*$X$6)),0)</f>
        <v>0</v>
      </c>
      <c r="T27" s="83">
        <f ca="1">IF($A27="S",VTOTAL1,IF($A27=0,0,ROUND(SomaAgrup,15-13*$X$7)))</f>
        <v>0</v>
      </c>
      <c r="U27" s="9" t="str">
        <f t="shared" ca="1" si="36"/>
        <v>SEM VALOR</v>
      </c>
      <c r="V27" s="1" t="str">
        <f ca="1">IF(OR($A27=0,$A27="S",$A27&gt;CFF!$A$9),"",MAX(V$12:OFFSET(V27,-1,0))+1)</f>
        <v/>
      </c>
      <c r="W27" s="4" t="str">
        <f t="shared" si="37"/>
        <v>SINAPI-102331</v>
      </c>
      <c r="X27" s="1">
        <f ca="1">IF(AND(Fonte&lt;&gt;"",Código&lt;&gt;""),MATCH(Fonte&amp;" "&amp;IF(Fonte="sinapi",SUBSTITUTE(SUBSTITUTE(Código,"/00","/"),"/0","/"),Código),INDIRECT("'[Referência "&amp;_xlnm.Database&amp;".xls]Banco'!$a:$a"),0),"X")</f>
        <v>15366</v>
      </c>
      <c r="Y27" s="103">
        <v>0.72</v>
      </c>
      <c r="Z27" s="113">
        <f ca="1">ROUND(IF(ISNUMBER(R27),R27,IF(LEFT(R27,3)="BDI",HLOOKUP(R27,DADOS!$T$37:$X$38,2,FALSE),0)),15-11*$X$5)</f>
        <v>0.21859999999999999</v>
      </c>
      <c r="AA27" s="1"/>
    </row>
    <row r="28" spans="1:27" x14ac:dyDescent="0.2">
      <c r="A28">
        <f t="shared" ref="A28:A29" si="38">CHOOSE(1+LOG(1+2*(J28="Meta")+4*(J28="Nível 2")+8*(J28="Nível 3")+16*(J28="Nível 4")+32*(J28="Serviço"),2),0,1,2,3,4,"S")</f>
        <v>1</v>
      </c>
      <c r="B28">
        <f t="shared" ref="B28:B29" ca="1" si="39">IF(OR(A28="S",A28=0),0,IF(ISERROR(I28),H28,SMALL(H28:I28,1)))</f>
        <v>6</v>
      </c>
      <c r="C28">
        <f t="shared" ref="C28:C29" ca="1" si="40">IF($A28=1,OFFSET(C28,-1,0)+1,OFFSET(C28,-1,0))</f>
        <v>2</v>
      </c>
      <c r="D28">
        <f t="shared" ref="D28:D29" ca="1" si="41">IF($A28=1,0,IF($A28=2,OFFSET(D28,-1,0)+1,OFFSET(D28,-1,0)))</f>
        <v>0</v>
      </c>
      <c r="E28">
        <f t="shared" ref="E28:E29" ca="1" si="42">IF(AND($A28&lt;=2,$A28&lt;&gt;0),0,IF($A28=3,OFFSET(E28,-1,0)+1,OFFSET(E28,-1,0)))</f>
        <v>0</v>
      </c>
      <c r="F28">
        <f t="shared" ref="F28:F29" ca="1" si="43">IF(AND($A28&lt;=3,$A28&lt;&gt;0),0,IF($A28=4,OFFSET(F28,-1,0)+1,OFFSET(F28,-1,0)))</f>
        <v>0</v>
      </c>
      <c r="G28">
        <f t="shared" ref="G28:G29" ca="1" si="44">IF(AND($A28&lt;=4,$A28&lt;&gt;0),0,IF($A28="S",OFFSET(G28,-1,0)+1,OFFSET(G28,-1,0)))</f>
        <v>0</v>
      </c>
      <c r="H28">
        <f t="shared" ca="1" si="7"/>
        <v>12</v>
      </c>
      <c r="I28">
        <f t="shared" ca="1" si="8"/>
        <v>6</v>
      </c>
      <c r="J28" s="353" t="s">
        <v>99</v>
      </c>
      <c r="K28" s="138" t="str">
        <f t="shared" ref="K28:K29" ca="1" si="45">IF($A28=0,"-",CONCATENATE(C28&amp;".",IF(AND($A$5&gt;=2,$A28&gt;=2),D28&amp;".",""),IF(AND($A$5&gt;=3,$A28&gt;=3),E28&amp;".",""),IF(AND($A$5&gt;=4,$A28&gt;=4),F28&amp;".",""),IF($A28="S",G28&amp;".","")))</f>
        <v>2.</v>
      </c>
      <c r="L28" s="354"/>
      <c r="M28" s="354"/>
      <c r="N28" s="355" t="s">
        <v>248</v>
      </c>
      <c r="O28" s="356" t="s">
        <v>106</v>
      </c>
      <c r="P28" s="192">
        <f ca="1">OFFSET(PLQ!$E$12,ROW($P28)-ROW(P$12),0)</f>
        <v>0</v>
      </c>
      <c r="Q28" s="196"/>
      <c r="R28" s="199" t="s">
        <v>7</v>
      </c>
      <c r="S28" s="103">
        <f t="shared" ref="S28:S29" si="46">IF($A28="S",IF($Q$10="Preço Unitário (R$)",PO.CustoUnitario,ROUND(PO.CustoUnitario*(1+$Z28),15-13*$X$6)),0)</f>
        <v>0</v>
      </c>
      <c r="T28" s="83">
        <f t="shared" ref="T28:T29" ca="1" si="47">IF($A28="S",VTOTAL1,IF($A28=0,0,ROUND(SomaAgrup,15-13*$X$7)))</f>
        <v>0</v>
      </c>
      <c r="U28" s="9" t="str">
        <f t="shared" ref="U28:U29" ca="1" si="48">IF($J28="","",IF($N28="","DESCRIÇÃO",IF(AND($J28="Serviço",$O28=""),"UNIDADE",IF($T28&lt;=0,"SEM VALOR",IF(AND($Y28&lt;&gt;"",$Q28&gt;$Y28),"ACIMA REF.","")))))</f>
        <v>SEM VALOR</v>
      </c>
      <c r="V28" s="1">
        <f ca="1">IF(OR($A28=0,$A28="S",$A28&gt;CFF!$A$9),"",MAX(V$12:OFFSET(V28,-1,0))+1)</f>
        <v>4</v>
      </c>
      <c r="W28" s="4" t="b">
        <f t="shared" ref="W28:W29" si="49">IF(AND($J28="Serviço",$M28&lt;&gt;""),IF($L28="",$M28,CONCATENATE($L28,"-",$M28)))</f>
        <v>0</v>
      </c>
      <c r="X28" s="1" t="str">
        <f t="shared" ref="X28:X29" ca="1" si="50">IF(AND(Fonte&lt;&gt;"",Código&lt;&gt;""),MATCH(Fonte&amp;" "&amp;IF(Fonte="sinapi",SUBSTITUTE(SUBSTITUTE(Código,"/00","/"),"/0","/"),Código),INDIRECT("'[Referência "&amp;_xlnm.Database&amp;".xls]Banco'!$a:$a"),0),"X")</f>
        <v>X</v>
      </c>
      <c r="Y28" s="103">
        <v>0</v>
      </c>
      <c r="Z28" s="113">
        <f ca="1">ROUND(IF(ISNUMBER(R28),R28,IF(LEFT(R28,3)="BDI",HLOOKUP(R28,DADOS!$T$37:$X$38,2,FALSE),0)),15-11*$X$5)</f>
        <v>0.21859999999999999</v>
      </c>
      <c r="AA28" s="1"/>
    </row>
    <row r="29" spans="1:27" x14ac:dyDescent="0.2">
      <c r="A29" t="str">
        <f t="shared" si="38"/>
        <v>S</v>
      </c>
      <c r="B29">
        <f t="shared" si="39"/>
        <v>0</v>
      </c>
      <c r="C29">
        <f t="shared" ca="1" si="40"/>
        <v>2</v>
      </c>
      <c r="D29">
        <f t="shared" ca="1" si="41"/>
        <v>0</v>
      </c>
      <c r="E29">
        <f t="shared" ca="1" si="42"/>
        <v>0</v>
      </c>
      <c r="F29">
        <f t="shared" ca="1" si="43"/>
        <v>0</v>
      </c>
      <c r="G29">
        <f t="shared" ca="1" si="44"/>
        <v>1</v>
      </c>
      <c r="H29">
        <f t="shared" ca="1" si="7"/>
        <v>0</v>
      </c>
      <c r="I29">
        <f t="shared" ca="1" si="8"/>
        <v>0</v>
      </c>
      <c r="J29" s="353" t="s">
        <v>103</v>
      </c>
      <c r="K29" s="138" t="str">
        <f t="shared" ca="1" si="45"/>
        <v>2.0.1.</v>
      </c>
      <c r="L29" s="354" t="s">
        <v>238</v>
      </c>
      <c r="M29" s="354" t="s">
        <v>262</v>
      </c>
      <c r="N29" s="355" t="s">
        <v>280</v>
      </c>
      <c r="O29" s="356" t="s">
        <v>287</v>
      </c>
      <c r="P29" s="192">
        <f ca="1">OFFSET(PLQ!$E$12,ROW($P29)-ROW(P$12),0)</f>
        <v>2</v>
      </c>
      <c r="Q29" s="196"/>
      <c r="R29" s="199" t="s">
        <v>7</v>
      </c>
      <c r="S29" s="103">
        <f t="shared" si="46"/>
        <v>0</v>
      </c>
      <c r="T29" s="83">
        <f t="shared" ca="1" si="47"/>
        <v>0</v>
      </c>
      <c r="U29" s="9" t="str">
        <f t="shared" ca="1" si="48"/>
        <v>SEM VALOR</v>
      </c>
      <c r="V29" s="1" t="str">
        <f ca="1">IF(OR($A29=0,$A29="S",$A29&gt;CFF!$A$9),"",MAX(V$12:OFFSET(V29,-1,0))+1)</f>
        <v/>
      </c>
      <c r="W29" s="4" t="str">
        <f t="shared" si="49"/>
        <v>COMPOSIÇÃO-08</v>
      </c>
      <c r="X29" s="1">
        <f t="shared" ca="1" si="50"/>
        <v>16</v>
      </c>
      <c r="Y29" s="103">
        <v>531.83000000000004</v>
      </c>
      <c r="Z29" s="113">
        <f ca="1">ROUND(IF(ISNUMBER(R29),R29,IF(LEFT(R29,3)="BDI",HLOOKUP(R29,DADOS!$T$37:$X$38,2,FALSE),0)),15-11*$X$5)</f>
        <v>0.21859999999999999</v>
      </c>
      <c r="AA29" s="1"/>
    </row>
    <row r="30" spans="1:27" x14ac:dyDescent="0.2">
      <c r="A30" t="str">
        <f>CHOOSE(1+LOG(1+2*(J30="Meta")+4*(J30="Nível 2")+8*(J30="Nível 3")+16*(J30="Nível 4")+32*(J30="Serviço"),2),0,1,2,3,4,"S")</f>
        <v>S</v>
      </c>
      <c r="B30">
        <f>IF(OR(A30="S",A30=0),0,IF(ISERROR(I30),H30,SMALL(H30:I30,1)))</f>
        <v>0</v>
      </c>
      <c r="C30">
        <f ca="1">IF($A30=1,OFFSET(C30,-1,0)+1,OFFSET(C30,-1,0))</f>
        <v>2</v>
      </c>
      <c r="D30">
        <f ca="1">IF($A30=1,0,IF($A30=2,OFFSET(D30,-1,0)+1,OFFSET(D30,-1,0)))</f>
        <v>0</v>
      </c>
      <c r="E30">
        <f ca="1">IF(AND($A30&lt;=2,$A30&lt;&gt;0),0,IF($A30=3,OFFSET(E30,-1,0)+1,OFFSET(E30,-1,0)))</f>
        <v>0</v>
      </c>
      <c r="F30">
        <f ca="1">IF(AND($A30&lt;=3,$A30&lt;&gt;0),0,IF($A30=4,OFFSET(F30,-1,0)+1,OFFSET(F30,-1,0)))</f>
        <v>0</v>
      </c>
      <c r="G30">
        <f ca="1">IF(AND($A30&lt;=4,$A30&lt;&gt;0),0,IF($A30="S",OFFSET(G30,-1,0)+1,OFFSET(G30,-1,0)))</f>
        <v>2</v>
      </c>
      <c r="H30">
        <f t="shared" ca="1" si="7"/>
        <v>0</v>
      </c>
      <c r="I30">
        <f t="shared" ca="1" si="8"/>
        <v>0</v>
      </c>
      <c r="J30" s="353" t="s">
        <v>103</v>
      </c>
      <c r="K30" s="138" t="str">
        <f ca="1">IF($A30=0,"-",CONCATENATE(C30&amp;".",IF(AND($A$5&gt;=2,$A30&gt;=2),D30&amp;".",""),IF(AND($A$5&gt;=3,$A30&gt;=3),E30&amp;".",""),IF(AND($A$5&gt;=4,$A30&gt;=4),F30&amp;".",""),IF($A30="S",G30&amp;".","")))</f>
        <v>2.0.2.</v>
      </c>
      <c r="L30" s="354" t="s">
        <v>238</v>
      </c>
      <c r="M30" s="354" t="s">
        <v>265</v>
      </c>
      <c r="N30" s="355" t="s">
        <v>281</v>
      </c>
      <c r="O30" s="356" t="s">
        <v>287</v>
      </c>
      <c r="P30" s="192">
        <f ca="1">OFFSET(PLQ!$E$12,ROW($P30)-ROW(P$12),0)</f>
        <v>4</v>
      </c>
      <c r="Q30" s="196"/>
      <c r="R30" s="199" t="s">
        <v>7</v>
      </c>
      <c r="S30" s="103">
        <f>IF($A30="S",IF($Q$10="Preço Unitário (R$)",PO.CustoUnitario,ROUND(PO.CustoUnitario*(1+$Z30),15-13*$X$6)),0)</f>
        <v>0</v>
      </c>
      <c r="T30" s="83">
        <f ca="1">IF($A30="S",VTOTAL1,IF($A30=0,0,ROUND(SomaAgrup,15-13*$X$7)))</f>
        <v>0</v>
      </c>
      <c r="U30" s="9" t="str">
        <f ca="1">IF($J30="","",IF($N30="","DESCRIÇÃO",IF(AND($J30="Serviço",$O30=""),"UNIDADE",IF($T30&lt;=0,"SEM VALOR",IF(AND($Y30&lt;&gt;"",$Q30&gt;$Y30),"ACIMA REF.","")))))</f>
        <v>SEM VALOR</v>
      </c>
      <c r="V30" s="1" t="str">
        <f ca="1">IF(OR($A30=0,$A30="S",$A30&gt;CFF!$A$9),"",MAX(V$12:OFFSET(V30,-1,0))+1)</f>
        <v/>
      </c>
      <c r="W30" s="4" t="str">
        <f>IF(AND($J30="Serviço",$M30&lt;&gt;""),IF($L30="",$M30,CONCATENATE($L30,"-",$M30)))</f>
        <v>COMPOSIÇÃO-09</v>
      </c>
      <c r="X30" s="1">
        <f ca="1">IF(AND(Fonte&lt;&gt;"",Código&lt;&gt;""),MATCH(Fonte&amp;" "&amp;IF(Fonte="sinapi",SUBSTITUTE(SUBSTITUTE(Código,"/00","/"),"/0","/"),Código),INDIRECT("'[Referência "&amp;_xlnm.Database&amp;".xls]Banco'!$a:$a"),0),"X")</f>
        <v>17</v>
      </c>
      <c r="Y30" s="103">
        <v>495.24</v>
      </c>
      <c r="Z30" s="113">
        <f ca="1">ROUND(IF(ISNUMBER(R30),R30,IF(LEFT(R30,3)="BDI",HLOOKUP(R30,DADOS!$T$37:$X$38,2,FALSE),0)),15-11*$X$5)</f>
        <v>0.21859999999999999</v>
      </c>
      <c r="AA30" s="1"/>
    </row>
    <row r="31" spans="1:27" x14ac:dyDescent="0.2">
      <c r="A31" t="str">
        <f t="shared" ref="A31:A34" si="51">CHOOSE(1+LOG(1+2*(J31="Meta")+4*(J31="Nível 2")+8*(J31="Nível 3")+16*(J31="Nível 4")+32*(J31="Serviço"),2),0,1,2,3,4,"S")</f>
        <v>S</v>
      </c>
      <c r="B31">
        <f t="shared" ref="B31:B34" si="52">IF(OR(A31="S",A31=0),0,IF(ISERROR(I31),H31,SMALL(H31:I31,1)))</f>
        <v>0</v>
      </c>
      <c r="C31">
        <f t="shared" ref="C31:C34" ca="1" si="53">IF($A31=1,OFFSET(C31,-1,0)+1,OFFSET(C31,-1,0))</f>
        <v>2</v>
      </c>
      <c r="D31">
        <f t="shared" ref="D31:D34" ca="1" si="54">IF($A31=1,0,IF($A31=2,OFFSET(D31,-1,0)+1,OFFSET(D31,-1,0)))</f>
        <v>0</v>
      </c>
      <c r="E31">
        <f t="shared" ref="E31:E34" ca="1" si="55">IF(AND($A31&lt;=2,$A31&lt;&gt;0),0,IF($A31=3,OFFSET(E31,-1,0)+1,OFFSET(E31,-1,0)))</f>
        <v>0</v>
      </c>
      <c r="F31">
        <f t="shared" ref="F31:F34" ca="1" si="56">IF(AND($A31&lt;=3,$A31&lt;&gt;0),0,IF($A31=4,OFFSET(F31,-1,0)+1,OFFSET(F31,-1,0)))</f>
        <v>0</v>
      </c>
      <c r="G31">
        <f t="shared" ref="G31:G34" ca="1" si="57">IF(AND($A31&lt;=4,$A31&lt;&gt;0),0,IF($A31="S",OFFSET(G31,-1,0)+1,OFFSET(G31,-1,0)))</f>
        <v>3</v>
      </c>
      <c r="H31">
        <f t="shared" ca="1" si="7"/>
        <v>0</v>
      </c>
      <c r="I31">
        <f t="shared" ca="1" si="8"/>
        <v>0</v>
      </c>
      <c r="J31" s="353" t="s">
        <v>103</v>
      </c>
      <c r="K31" s="138" t="str">
        <f t="shared" ref="K31:K34" ca="1" si="58">IF($A31=0,"-",CONCATENATE(C31&amp;".",IF(AND($A$5&gt;=2,$A31&gt;=2),D31&amp;".",""),IF(AND($A$5&gt;=3,$A31&gt;=3),E31&amp;".",""),IF(AND($A$5&gt;=4,$A31&gt;=4),F31&amp;".",""),IF($A31="S",G31&amp;".","")))</f>
        <v>2.0.3.</v>
      </c>
      <c r="L31" s="354" t="s">
        <v>231</v>
      </c>
      <c r="M31" s="354" t="s">
        <v>251</v>
      </c>
      <c r="N31" s="355" t="s">
        <v>282</v>
      </c>
      <c r="O31" s="356" t="s">
        <v>292</v>
      </c>
      <c r="P31" s="192">
        <f ca="1">OFFSET(PLQ!$E$12,ROW($P31)-ROW(P$12),0)</f>
        <v>396.88</v>
      </c>
      <c r="Q31" s="196"/>
      <c r="R31" s="199" t="s">
        <v>7</v>
      </c>
      <c r="S31" s="103">
        <f t="shared" ref="S31:S34" si="59">IF($A31="S",IF($Q$10="Preço Unitário (R$)",PO.CustoUnitario,ROUND(PO.CustoUnitario*(1+$Z31),15-13*$X$6)),0)</f>
        <v>0</v>
      </c>
      <c r="T31" s="83">
        <f t="shared" ref="T31:T34" ca="1" si="60">IF($A31="S",VTOTAL1,IF($A31=0,0,ROUND(SomaAgrup,15-13*$X$7)))</f>
        <v>0</v>
      </c>
      <c r="U31" s="9" t="str">
        <f t="shared" ref="U31:U34" ca="1" si="61">IF($J31="","",IF($N31="","DESCRIÇÃO",IF(AND($J31="Serviço",$O31=""),"UNIDADE",IF($T31&lt;=0,"SEM VALOR",IF(AND($Y31&lt;&gt;"",$Q31&gt;$Y31),"ACIMA REF.","")))))</f>
        <v>SEM VALOR</v>
      </c>
      <c r="V31" s="1" t="str">
        <f ca="1">IF(OR($A31=0,$A31="S",$A31&gt;CFF!$A$9),"",MAX(V$12:OFFSET(V31,-1,0))+1)</f>
        <v/>
      </c>
      <c r="W31" s="4" t="str">
        <f t="shared" ref="W31:W34" si="62">IF(AND($J31="Serviço",$M31&lt;&gt;""),IF($L31="",$M31,CONCATENATE($L31,"-",$M31)))</f>
        <v>SINAPI-102498</v>
      </c>
      <c r="X31" s="1">
        <f t="shared" ref="X31:X34" ca="1" si="63">IF(AND(Fonte&lt;&gt;"",Código&lt;&gt;""),MATCH(Fonte&amp;" "&amp;IF(Fonte="sinapi",SUBSTITUTE(SUBSTITUTE(Código,"/00","/"),"/0","/"),Código),INDIRECT("'[Referência "&amp;_xlnm.Database&amp;".xls]Banco'!$a:$a"),0),"X")</f>
        <v>13948</v>
      </c>
      <c r="Y31" s="103">
        <v>2</v>
      </c>
      <c r="Z31" s="113">
        <f ca="1">ROUND(IF(ISNUMBER(R31),R31,IF(LEFT(R31,3)="BDI",HLOOKUP(R31,DADOS!$T$37:$X$38,2,FALSE),0)),15-11*$X$5)</f>
        <v>0.21859999999999999</v>
      </c>
      <c r="AA31" s="1"/>
    </row>
    <row r="32" spans="1:27" ht="38.25" x14ac:dyDescent="0.2">
      <c r="A32" t="str">
        <f t="shared" si="51"/>
        <v>S</v>
      </c>
      <c r="B32">
        <f t="shared" si="52"/>
        <v>0</v>
      </c>
      <c r="C32">
        <f t="shared" ca="1" si="53"/>
        <v>2</v>
      </c>
      <c r="D32">
        <f t="shared" ca="1" si="54"/>
        <v>0</v>
      </c>
      <c r="E32">
        <f t="shared" ca="1" si="55"/>
        <v>0</v>
      </c>
      <c r="F32">
        <f t="shared" ca="1" si="56"/>
        <v>0</v>
      </c>
      <c r="G32">
        <f t="shared" ca="1" si="57"/>
        <v>4</v>
      </c>
      <c r="H32">
        <f t="shared" ca="1" si="7"/>
        <v>0</v>
      </c>
      <c r="I32">
        <f t="shared" ca="1" si="8"/>
        <v>0</v>
      </c>
      <c r="J32" s="353" t="s">
        <v>103</v>
      </c>
      <c r="K32" s="138" t="str">
        <f t="shared" ca="1" si="58"/>
        <v>2.0.4.</v>
      </c>
      <c r="L32" s="354" t="s">
        <v>231</v>
      </c>
      <c r="M32" s="354" t="s">
        <v>249</v>
      </c>
      <c r="N32" s="355" t="s">
        <v>283</v>
      </c>
      <c r="O32" s="356" t="s">
        <v>292</v>
      </c>
      <c r="P32" s="192">
        <f ca="1">OFFSET(PLQ!$E$12,ROW($P32)-ROW(P$12),0)</f>
        <v>210</v>
      </c>
      <c r="Q32" s="196"/>
      <c r="R32" s="199" t="s">
        <v>7</v>
      </c>
      <c r="S32" s="103">
        <f t="shared" si="59"/>
        <v>0</v>
      </c>
      <c r="T32" s="83">
        <f t="shared" ca="1" si="60"/>
        <v>0</v>
      </c>
      <c r="U32" s="9" t="str">
        <f t="shared" ca="1" si="61"/>
        <v>SEM VALOR</v>
      </c>
      <c r="V32" s="1" t="str">
        <f ca="1">IF(OR($A32=0,$A32="S",$A32&gt;CFF!$A$9),"",MAX(V$12:OFFSET(V32,-1,0))+1)</f>
        <v/>
      </c>
      <c r="W32" s="4" t="str">
        <f t="shared" si="62"/>
        <v>SINAPI-102512</v>
      </c>
      <c r="X32" s="1">
        <f t="shared" ca="1" si="63"/>
        <v>13942</v>
      </c>
      <c r="Y32" s="103">
        <v>7.88</v>
      </c>
      <c r="Z32" s="113">
        <f ca="1">ROUND(IF(ISNUMBER(R32),R32,IF(LEFT(R32,3)="BDI",HLOOKUP(R32,DADOS!$T$37:$X$38,2,FALSE),0)),15-11*$X$5)</f>
        <v>0.21859999999999999</v>
      </c>
      <c r="AA32" s="1"/>
    </row>
    <row r="33" spans="1:27" ht="25.5" x14ac:dyDescent="0.2">
      <c r="A33" t="str">
        <f>CHOOSE(1+LOG(1+2*(J33="Meta")+4*(J33="Nível 2")+8*(J33="Nível 3")+16*(J33="Nível 4")+32*(J33="Serviço"),2),0,1,2,3,4,"S")</f>
        <v>S</v>
      </c>
      <c r="B33">
        <f>IF(OR(A33="S",A33=0),0,IF(ISERROR(I33),H33,SMALL(H33:I33,1)))</f>
        <v>0</v>
      </c>
      <c r="C33">
        <f ca="1">IF($A33=1,OFFSET(C33,-1,0)+1,OFFSET(C33,-1,0))</f>
        <v>2</v>
      </c>
      <c r="D33">
        <f ca="1">IF($A33=1,0,IF($A33=2,OFFSET(D33,-1,0)+1,OFFSET(D33,-1,0)))</f>
        <v>0</v>
      </c>
      <c r="E33">
        <f ca="1">IF(AND($A33&lt;=2,$A33&lt;&gt;0),0,IF($A33=3,OFFSET(E33,-1,0)+1,OFFSET(E33,-1,0)))</f>
        <v>0</v>
      </c>
      <c r="F33">
        <f ca="1">IF(AND($A33&lt;=3,$A33&lt;&gt;0),0,IF($A33=4,OFFSET(F33,-1,0)+1,OFFSET(F33,-1,0)))</f>
        <v>0</v>
      </c>
      <c r="G33">
        <f ca="1">IF(AND($A33&lt;=4,$A33&lt;&gt;0),0,IF($A33="S",OFFSET(G33,-1,0)+1,OFFSET(G33,-1,0)))</f>
        <v>5</v>
      </c>
      <c r="H33">
        <f t="shared" ca="1" si="7"/>
        <v>0</v>
      </c>
      <c r="I33">
        <f t="shared" ca="1" si="8"/>
        <v>0</v>
      </c>
      <c r="J33" s="353" t="s">
        <v>103</v>
      </c>
      <c r="K33" s="138" t="str">
        <f ca="1">IF($A33=0,"-",CONCATENATE(C33&amp;".",IF(AND($A$5&gt;=2,$A33&gt;=2),D33&amp;".",""),IF(AND($A$5&gt;=3,$A33&gt;=3),E33&amp;".",""),IF(AND($A$5&gt;=4,$A33&gt;=4),F33&amp;".",""),IF($A33="S",G33&amp;".","")))</f>
        <v>2.0.5.</v>
      </c>
      <c r="L33" s="354" t="s">
        <v>231</v>
      </c>
      <c r="M33" s="354" t="s">
        <v>261</v>
      </c>
      <c r="N33" s="355" t="s">
        <v>284</v>
      </c>
      <c r="O33" s="356" t="s">
        <v>286</v>
      </c>
      <c r="P33" s="192">
        <f ca="1">OFFSET(PLQ!$E$12,ROW($P33)-ROW(P$12),0)</f>
        <v>65.599999999999994</v>
      </c>
      <c r="Q33" s="196"/>
      <c r="R33" s="199" t="s">
        <v>7</v>
      </c>
      <c r="S33" s="103">
        <f>IF($A33="S",IF($Q$10="Preço Unitário (R$)",PO.CustoUnitario,ROUND(PO.CustoUnitario*(1+$Z33),15-13*$X$6)),0)</f>
        <v>0</v>
      </c>
      <c r="T33" s="83">
        <f ca="1">IF($A33="S",VTOTAL1,IF($A33=0,0,ROUND(SomaAgrup,15-13*$X$7)))</f>
        <v>0</v>
      </c>
      <c r="U33" s="9" t="str">
        <f ca="1">IF($J33="","",IF($N33="","DESCRIÇÃO",IF(AND($J33="Serviço",$O33=""),"UNIDADE",IF($T33&lt;=0,"SEM VALOR",IF(AND($Y33&lt;&gt;"",$Q33&gt;$Y33),"ACIMA REF.","")))))</f>
        <v>SEM VALOR</v>
      </c>
      <c r="V33" s="1" t="str">
        <f ca="1">IF(OR($A33=0,$A33="S",$A33&gt;CFF!$A$9),"",MAX(V$12:OFFSET(V33,-1,0))+1)</f>
        <v/>
      </c>
      <c r="W33" s="4" t="str">
        <f>IF(AND($J33="Serviço",$M33&lt;&gt;""),IF($L33="",$M33,CONCATENATE($L33,"-",$M33)))</f>
        <v>SINAPI-102501</v>
      </c>
      <c r="X33" s="1">
        <f ca="1">IF(AND(Fonte&lt;&gt;"",Código&lt;&gt;""),MATCH(Fonte&amp;" "&amp;IF(Fonte="sinapi",SUBSTITUTE(SUBSTITUTE(Código,"/00","/"),"/0","/"),Código),INDIRECT("'[Referência "&amp;_xlnm.Database&amp;".xls]Banco'!$a:$a"),0),"X")</f>
        <v>13943</v>
      </c>
      <c r="Y33" s="103">
        <v>33.19</v>
      </c>
      <c r="Z33" s="113">
        <f ca="1">ROUND(IF(ISNUMBER(R33),R33,IF(LEFT(R33,3)="BDI",HLOOKUP(R33,DADOS!$T$37:$X$38,2,FALSE),0)),15-11*$X$5)</f>
        <v>0.21859999999999999</v>
      </c>
      <c r="AA33" s="1"/>
    </row>
    <row r="34" spans="1:27" x14ac:dyDescent="0.2">
      <c r="A34">
        <f t="shared" si="51"/>
        <v>1</v>
      </c>
      <c r="B34">
        <f t="shared" ca="1" si="52"/>
        <v>2</v>
      </c>
      <c r="C34">
        <f t="shared" ca="1" si="53"/>
        <v>3</v>
      </c>
      <c r="D34">
        <f t="shared" ca="1" si="54"/>
        <v>0</v>
      </c>
      <c r="E34">
        <f t="shared" ca="1" si="55"/>
        <v>0</v>
      </c>
      <c r="F34">
        <f t="shared" ca="1" si="56"/>
        <v>0</v>
      </c>
      <c r="G34">
        <f t="shared" ca="1" si="57"/>
        <v>0</v>
      </c>
      <c r="H34">
        <f t="shared" ca="1" si="7"/>
        <v>6</v>
      </c>
      <c r="I34">
        <f t="shared" ca="1" si="8"/>
        <v>2</v>
      </c>
      <c r="J34" s="353" t="s">
        <v>99</v>
      </c>
      <c r="K34" s="138" t="str">
        <f t="shared" ca="1" si="58"/>
        <v>3.</v>
      </c>
      <c r="L34" s="354" t="s">
        <v>231</v>
      </c>
      <c r="M34" s="354" t="s">
        <v>251</v>
      </c>
      <c r="N34" s="355" t="s">
        <v>255</v>
      </c>
      <c r="O34" s="356" t="s">
        <v>292</v>
      </c>
      <c r="P34" s="192">
        <f ca="1">OFFSET(PLQ!$E$12,ROW($P34)-ROW(P$12),0)</f>
        <v>0</v>
      </c>
      <c r="Q34" s="196"/>
      <c r="R34" s="199" t="s">
        <v>7</v>
      </c>
      <c r="S34" s="103">
        <f t="shared" si="59"/>
        <v>0</v>
      </c>
      <c r="T34" s="83">
        <f t="shared" ca="1" si="60"/>
        <v>0</v>
      </c>
      <c r="U34" s="9" t="str">
        <f t="shared" ca="1" si="61"/>
        <v>SEM VALOR</v>
      </c>
      <c r="V34" s="1">
        <f ca="1">IF(OR($A34=0,$A34="S",$A34&gt;CFF!$A$9),"",MAX(V$12:OFFSET(V34,-1,0))+1)</f>
        <v>5</v>
      </c>
      <c r="W34" s="4" t="b">
        <f t="shared" si="62"/>
        <v>0</v>
      </c>
      <c r="X34" s="1">
        <f t="shared" ca="1" si="63"/>
        <v>13948</v>
      </c>
      <c r="Y34" s="103">
        <v>0</v>
      </c>
      <c r="Z34" s="113">
        <f ca="1">ROUND(IF(ISNUMBER(R34),R34,IF(LEFT(R34,3)="BDI",HLOOKUP(R34,DADOS!$T$37:$X$38,2,FALSE),0)),15-11*$X$5)</f>
        <v>0.21859999999999999</v>
      </c>
      <c r="AA34" s="1"/>
    </row>
    <row r="35" spans="1:27" x14ac:dyDescent="0.2">
      <c r="A35" t="str">
        <f>CHOOSE(1+LOG(1+2*(J35="Meta")+4*(J35="Nível 2")+8*(J35="Nível 3")+16*(J35="Nível 4")+32*(J35="Serviço"),2),0,1,2,3,4,"S")</f>
        <v>S</v>
      </c>
      <c r="B35">
        <f>IF(OR(A35="S",A35=0),0,IF(ISERROR(I35),H35,SMALL(H35:I35,1)))</f>
        <v>0</v>
      </c>
      <c r="C35">
        <f ca="1">IF($A35=1,OFFSET(C35,-1,0)+1,OFFSET(C35,-1,0))</f>
        <v>3</v>
      </c>
      <c r="D35">
        <f ca="1">IF($A35=1,0,IF($A35=2,OFFSET(D35,-1,0)+1,OFFSET(D35,-1,0)))</f>
        <v>0</v>
      </c>
      <c r="E35">
        <f ca="1">IF(AND($A35&lt;=2,$A35&lt;&gt;0),0,IF($A35=3,OFFSET(E35,-1,0)+1,OFFSET(E35,-1,0)))</f>
        <v>0</v>
      </c>
      <c r="F35">
        <f ca="1">IF(AND($A35&lt;=3,$A35&lt;&gt;0),0,IF($A35=4,OFFSET(F35,-1,0)+1,OFFSET(F35,-1,0)))</f>
        <v>0</v>
      </c>
      <c r="G35">
        <f ca="1">IF(AND($A35&lt;=4,$A35&lt;&gt;0),0,IF($A35="S",OFFSET(G35,-1,0)+1,OFFSET(G35,-1,0)))</f>
        <v>1</v>
      </c>
      <c r="H35">
        <f t="shared" ca="1" si="7"/>
        <v>0</v>
      </c>
      <c r="I35">
        <f t="shared" ca="1" si="8"/>
        <v>0</v>
      </c>
      <c r="J35" s="353" t="s">
        <v>103</v>
      </c>
      <c r="K35" s="138" t="str">
        <f ca="1">IF($A35=0,"-",CONCATENATE(C35&amp;".",IF(AND($A$5&gt;=2,$A35&gt;=2),D35&amp;".",""),IF(AND($A$5&gt;=3,$A35&gt;=3),E35&amp;".",""),IF(AND($A$5&gt;=4,$A35&gt;=4),F35&amp;".",""),IF($A35="S",G35&amp;".","")))</f>
        <v>3.0.1.</v>
      </c>
      <c r="L35" s="354" t="s">
        <v>238</v>
      </c>
      <c r="M35" s="354" t="s">
        <v>247</v>
      </c>
      <c r="N35" s="355" t="s">
        <v>285</v>
      </c>
      <c r="O35" s="356" t="s">
        <v>292</v>
      </c>
      <c r="P35" s="192">
        <f ca="1">OFFSET(PLQ!$E$12,ROW($P35)-ROW(P$12),0)</f>
        <v>396.88</v>
      </c>
      <c r="Q35" s="196"/>
      <c r="R35" s="199" t="s">
        <v>7</v>
      </c>
      <c r="S35" s="103">
        <f t="shared" ref="S35:S39" si="64">IF($A35="S",IF($Q$10="Preço Unitário (R$)",PO.CustoUnitario,ROUND(PO.CustoUnitario*(1+$Z35),15-13*$X$6)),0)</f>
        <v>0</v>
      </c>
      <c r="T35" s="83">
        <f t="shared" ref="T35:T39" ca="1" si="65">IF($A35="S",VTOTAL1,IF($A35=0,0,ROUND(SomaAgrup,15-13*$X$7)))</f>
        <v>0</v>
      </c>
      <c r="U35" s="9" t="str">
        <f ca="1">IF($J35="","",IF($N35="","DESCRIÇÃO",IF(AND($J35="Serviço",$O35=""),"UNIDADE",IF($T35&lt;=0,"SEM VALOR",IF(AND($Y35&lt;&gt;"",$Q35&gt;$Y35),"ACIMA REF.","")))))</f>
        <v>SEM VALOR</v>
      </c>
      <c r="V35" s="1" t="str">
        <f ca="1">IF(OR($A35=0,$A35="S",$A35&gt;CFF!$A$9),"",MAX(V$12:OFFSET(V35,-1,0))+1)</f>
        <v/>
      </c>
      <c r="W35" s="4" t="str">
        <f>IF(AND($J35="Serviço",$M35&lt;&gt;""),IF($L35="",$M35,CONCATENATE($L35,"-",$M35)))</f>
        <v>COMPOSIÇÃO-07</v>
      </c>
      <c r="X35" s="1">
        <f t="shared" ref="X35:X39" ca="1" si="66">IF(AND(Fonte&lt;&gt;"",Código&lt;&gt;""),MATCH(Fonte&amp;" "&amp;IF(Fonte="sinapi",SUBSTITUTE(SUBSTITUTE(Código,"/00","/"),"/0","/"),Código),INDIRECT("'[Referência "&amp;_xlnm.Database&amp;".xls]Banco'!$a:$a"),0),"X")</f>
        <v>15</v>
      </c>
      <c r="Y35" s="103">
        <v>47.54</v>
      </c>
      <c r="Z35" s="113">
        <f ca="1">ROUND(IF(ISNUMBER(R35),R35,IF(LEFT(R35,3)="BDI",HLOOKUP(R35,DADOS!$T$37:$X$38,2,FALSE),0)),15-11*$X$5)</f>
        <v>0.21859999999999999</v>
      </c>
      <c r="AA35" s="1"/>
    </row>
    <row r="36" spans="1:27" x14ac:dyDescent="0.2">
      <c r="A36">
        <f t="shared" ref="A36:A39" si="67">CHOOSE(1+LOG(1+2*(J36="Meta")+4*(J36="Nível 2")+8*(J36="Nível 3")+16*(J36="Nível 4")+32*(J36="Serviço"),2),0,1,2,3,4,"S")</f>
        <v>1</v>
      </c>
      <c r="B36">
        <f t="shared" ref="B36:B39" ca="1" si="68">IF(OR(A36="S",A36=0),0,IF(ISERROR(I36),H36,SMALL(H36:I36,1)))</f>
        <v>2</v>
      </c>
      <c r="C36">
        <f t="shared" ref="C36:C39" ca="1" si="69">IF($A36=1,OFFSET(C36,-1,0)+1,OFFSET(C36,-1,0))</f>
        <v>4</v>
      </c>
      <c r="D36">
        <f t="shared" ref="D36:D39" ca="1" si="70">IF($A36=1,0,IF($A36=2,OFFSET(D36,-1,0)+1,OFFSET(D36,-1,0)))</f>
        <v>0</v>
      </c>
      <c r="E36">
        <f t="shared" ref="E36:E39" ca="1" si="71">IF(AND($A36&lt;=2,$A36&lt;&gt;0),0,IF($A36=3,OFFSET(E36,-1,0)+1,OFFSET(E36,-1,0)))</f>
        <v>0</v>
      </c>
      <c r="F36">
        <f t="shared" ref="F36:F39" ca="1" si="72">IF(AND($A36&lt;=3,$A36&lt;&gt;0),0,IF($A36=4,OFFSET(F36,-1,0)+1,OFFSET(F36,-1,0)))</f>
        <v>0</v>
      </c>
      <c r="G36">
        <f t="shared" ref="G36:G39" ca="1" si="73">IF(AND($A36&lt;=4,$A36&lt;&gt;0),0,IF($A36="S",OFFSET(G36,-1,0)+1,OFFSET(G36,-1,0)))</f>
        <v>0</v>
      </c>
      <c r="H36">
        <f t="shared" ca="1" si="7"/>
        <v>4</v>
      </c>
      <c r="I36">
        <f t="shared" ca="1" si="8"/>
        <v>2</v>
      </c>
      <c r="J36" s="353" t="s">
        <v>99</v>
      </c>
      <c r="K36" s="138" t="str">
        <f t="shared" ref="K36:K39" ca="1" si="74">IF($A36=0,"-",CONCATENATE(C36&amp;".",IF(AND($A$5&gt;=2,$A36&gt;=2),D36&amp;".",""),IF(AND($A$5&gt;=3,$A36&gt;=3),E36&amp;".",""),IF(AND($A$5&gt;=4,$A36&gt;=4),F36&amp;".",""),IF($A36="S",G36&amp;".","")))</f>
        <v>4.</v>
      </c>
      <c r="L36" s="354"/>
      <c r="M36" s="354"/>
      <c r="N36" s="355" t="s">
        <v>263</v>
      </c>
      <c r="O36" s="356" t="s">
        <v>106</v>
      </c>
      <c r="P36" s="192">
        <f ca="1">OFFSET(PLQ!$E$12,ROW($P36)-ROW(P$12),0)</f>
        <v>0</v>
      </c>
      <c r="Q36" s="196"/>
      <c r="R36" s="199" t="s">
        <v>7</v>
      </c>
      <c r="S36" s="103">
        <f t="shared" si="64"/>
        <v>0</v>
      </c>
      <c r="T36" s="83">
        <f t="shared" ca="1" si="65"/>
        <v>0</v>
      </c>
      <c r="U36" s="9" t="str">
        <f t="shared" ref="U36:U39" ca="1" si="75">IF($J36="","",IF($N36="","DESCRIÇÃO",IF(AND($J36="Serviço",$O36=""),"UNIDADE",IF($T36&lt;=0,"SEM VALOR",IF(AND($Y36&lt;&gt;"",$Q36&gt;$Y36),"ACIMA REF.","")))))</f>
        <v>SEM VALOR</v>
      </c>
      <c r="V36" s="1">
        <f ca="1">IF(OR($A36=0,$A36="S",$A36&gt;CFF!$A$9),"",MAX(V$12:OFFSET(V36,-1,0))+1)</f>
        <v>6</v>
      </c>
      <c r="W36" s="4" t="b">
        <f t="shared" ref="W36:W39" si="76">IF(AND($J36="Serviço",$M36&lt;&gt;""),IF($L36="",$M36,CONCATENATE($L36,"-",$M36)))</f>
        <v>0</v>
      </c>
      <c r="X36" s="1" t="str">
        <f t="shared" ca="1" si="66"/>
        <v>X</v>
      </c>
      <c r="Y36" s="103">
        <v>0</v>
      </c>
      <c r="Z36" s="113">
        <f ca="1">ROUND(IF(ISNUMBER(R36),R36,IF(LEFT(R36,3)="BDI",HLOOKUP(R36,DADOS!$T$37:$X$38,2,FALSE),0)),15-11*$X$5)</f>
        <v>0.21859999999999999</v>
      </c>
      <c r="AA36" s="1"/>
    </row>
    <row r="37" spans="1:27" x14ac:dyDescent="0.2">
      <c r="A37" t="str">
        <f t="shared" si="67"/>
        <v>S</v>
      </c>
      <c r="B37">
        <f t="shared" si="68"/>
        <v>0</v>
      </c>
      <c r="C37">
        <f t="shared" ca="1" si="69"/>
        <v>4</v>
      </c>
      <c r="D37">
        <f t="shared" ca="1" si="70"/>
        <v>0</v>
      </c>
      <c r="E37">
        <f t="shared" ca="1" si="71"/>
        <v>0</v>
      </c>
      <c r="F37">
        <f t="shared" ca="1" si="72"/>
        <v>0</v>
      </c>
      <c r="G37">
        <f t="shared" ca="1" si="73"/>
        <v>1</v>
      </c>
      <c r="H37">
        <f t="shared" ca="1" si="7"/>
        <v>0</v>
      </c>
      <c r="I37">
        <f t="shared" ca="1" si="8"/>
        <v>0</v>
      </c>
      <c r="J37" s="353" t="s">
        <v>103</v>
      </c>
      <c r="K37" s="138" t="str">
        <f t="shared" ca="1" si="74"/>
        <v>4.0.1.</v>
      </c>
      <c r="L37" s="354" t="s">
        <v>238</v>
      </c>
      <c r="M37" s="354" t="s">
        <v>266</v>
      </c>
      <c r="N37" s="355" t="s">
        <v>263</v>
      </c>
      <c r="O37" s="356" t="s">
        <v>287</v>
      </c>
      <c r="P37" s="192">
        <f ca="1">OFFSET(PLQ!$E$12,ROW($P37)-ROW(P$12),0)</f>
        <v>1</v>
      </c>
      <c r="Q37" s="196"/>
      <c r="R37" s="199" t="s">
        <v>7</v>
      </c>
      <c r="S37" s="103">
        <f t="shared" si="64"/>
        <v>0</v>
      </c>
      <c r="T37" s="83">
        <f t="shared" ca="1" si="65"/>
        <v>0</v>
      </c>
      <c r="U37" s="9" t="str">
        <f t="shared" ca="1" si="75"/>
        <v>SEM VALOR</v>
      </c>
      <c r="V37" s="1" t="str">
        <f ca="1">IF(OR($A37=0,$A37="S",$A37&gt;CFF!$A$9),"",MAX(V$12:OFFSET(V37,-1,0))+1)</f>
        <v/>
      </c>
      <c r="W37" s="4" t="str">
        <f t="shared" si="76"/>
        <v>COMPOSIÇÃO-10</v>
      </c>
      <c r="X37" s="1">
        <f t="shared" ca="1" si="66"/>
        <v>18</v>
      </c>
      <c r="Y37" s="103">
        <v>3512.2</v>
      </c>
      <c r="Z37" s="113">
        <f ca="1">ROUND(IF(ISNUMBER(R37),R37,IF(LEFT(R37,3)="BDI",HLOOKUP(R37,DADOS!$T$37:$X$38,2,FALSE),0)),15-11*$X$5)</f>
        <v>0.21859999999999999</v>
      </c>
      <c r="AA37" s="1"/>
    </row>
    <row r="38" spans="1:27" x14ac:dyDescent="0.2">
      <c r="A38">
        <f t="shared" si="67"/>
        <v>1</v>
      </c>
      <c r="B38">
        <f t="shared" ca="1" si="68"/>
        <v>2</v>
      </c>
      <c r="C38">
        <f t="shared" ca="1" si="69"/>
        <v>5</v>
      </c>
      <c r="D38">
        <f t="shared" ca="1" si="70"/>
        <v>0</v>
      </c>
      <c r="E38">
        <f t="shared" ca="1" si="71"/>
        <v>0</v>
      </c>
      <c r="F38">
        <f t="shared" ca="1" si="72"/>
        <v>0</v>
      </c>
      <c r="G38">
        <f t="shared" ca="1" si="73"/>
        <v>0</v>
      </c>
      <c r="H38">
        <f t="shared" ca="1" si="7"/>
        <v>2</v>
      </c>
      <c r="I38" t="e">
        <f t="shared" ca="1" si="8"/>
        <v>#N/A</v>
      </c>
      <c r="J38" s="353" t="s">
        <v>99</v>
      </c>
      <c r="K38" s="138" t="str">
        <f t="shared" ca="1" si="74"/>
        <v>5.</v>
      </c>
      <c r="L38" s="354"/>
      <c r="M38" s="354"/>
      <c r="N38" s="355" t="s">
        <v>264</v>
      </c>
      <c r="O38" s="356" t="s">
        <v>106</v>
      </c>
      <c r="P38" s="192">
        <f ca="1">OFFSET(PLQ!$E$12,ROW($P38)-ROW(P$12),0)</f>
        <v>0</v>
      </c>
      <c r="Q38" s="196"/>
      <c r="R38" s="199" t="s">
        <v>7</v>
      </c>
      <c r="S38" s="103">
        <f t="shared" si="64"/>
        <v>0</v>
      </c>
      <c r="T38" s="83">
        <f t="shared" ca="1" si="65"/>
        <v>0</v>
      </c>
      <c r="U38" s="9" t="str">
        <f t="shared" ca="1" si="75"/>
        <v>SEM VALOR</v>
      </c>
      <c r="V38" s="1">
        <f ca="1">IF(OR($A38=0,$A38="S",$A38&gt;CFF!$A$9),"",MAX(V$12:OFFSET(V38,-1,0))+1)</f>
        <v>7</v>
      </c>
      <c r="W38" s="4" t="b">
        <f t="shared" si="76"/>
        <v>0</v>
      </c>
      <c r="X38" s="1" t="str">
        <f t="shared" ca="1" si="66"/>
        <v>X</v>
      </c>
      <c r="Y38" s="103">
        <v>0</v>
      </c>
      <c r="Z38" s="113">
        <f ca="1">ROUND(IF(ISNUMBER(R38),R38,IF(LEFT(R38,3)="BDI",HLOOKUP(R38,DADOS!$T$37:$X$38,2,FALSE),0)),15-11*$X$5)</f>
        <v>0.21859999999999999</v>
      </c>
      <c r="AA38" s="1"/>
    </row>
    <row r="39" spans="1:27" x14ac:dyDescent="0.2">
      <c r="A39" t="str">
        <f t="shared" si="67"/>
        <v>S</v>
      </c>
      <c r="B39">
        <f t="shared" si="68"/>
        <v>0</v>
      </c>
      <c r="C39">
        <f t="shared" ca="1" si="69"/>
        <v>5</v>
      </c>
      <c r="D39">
        <f t="shared" ca="1" si="70"/>
        <v>0</v>
      </c>
      <c r="E39">
        <f t="shared" ca="1" si="71"/>
        <v>0</v>
      </c>
      <c r="F39">
        <f t="shared" ca="1" si="72"/>
        <v>0</v>
      </c>
      <c r="G39">
        <f t="shared" ca="1" si="73"/>
        <v>1</v>
      </c>
      <c r="H39">
        <f t="shared" ca="1" si="7"/>
        <v>0</v>
      </c>
      <c r="I39">
        <f t="shared" ca="1" si="8"/>
        <v>0</v>
      </c>
      <c r="J39" s="353" t="s">
        <v>103</v>
      </c>
      <c r="K39" s="138" t="str">
        <f t="shared" ca="1" si="74"/>
        <v>5.0.1.</v>
      </c>
      <c r="L39" s="354" t="s">
        <v>238</v>
      </c>
      <c r="M39" s="354" t="s">
        <v>241</v>
      </c>
      <c r="N39" s="355" t="s">
        <v>272</v>
      </c>
      <c r="O39" s="356" t="s">
        <v>287</v>
      </c>
      <c r="P39" s="192">
        <f ca="1">OFFSET(PLQ!$E$12,ROW($P39)-ROW(P$12),0)</f>
        <v>1</v>
      </c>
      <c r="Q39" s="196"/>
      <c r="R39" s="199" t="s">
        <v>7</v>
      </c>
      <c r="S39" s="103">
        <f t="shared" si="64"/>
        <v>0</v>
      </c>
      <c r="T39" s="83">
        <f t="shared" ca="1" si="65"/>
        <v>0</v>
      </c>
      <c r="U39" s="9" t="str">
        <f t="shared" ca="1" si="75"/>
        <v>SEM VALOR</v>
      </c>
      <c r="V39" s="1" t="str">
        <f ca="1">IF(OR($A39=0,$A39="S",$A39&gt;CFF!$A$9),"",MAX(V$12:OFFSET(V39,-1,0))+1)</f>
        <v/>
      </c>
      <c r="W39" s="4" t="str">
        <f t="shared" si="76"/>
        <v>COMPOSIÇÃO-03</v>
      </c>
      <c r="X39" s="1">
        <f t="shared" ca="1" si="66"/>
        <v>9</v>
      </c>
      <c r="Y39" s="103">
        <v>3653.08</v>
      </c>
      <c r="Z39" s="113">
        <f ca="1">ROUND(IF(ISNUMBER(R39),R39,IF(LEFT(R39,3)="BDI",HLOOKUP(R39,DADOS!$T$37:$X$38,2,FALSE),0)),15-11*$X$5)</f>
        <v>0.21859999999999999</v>
      </c>
      <c r="AA39" s="1"/>
    </row>
    <row r="40" spans="1:27" x14ac:dyDescent="0.2">
      <c r="A40">
        <v>-1</v>
      </c>
      <c r="C40">
        <v>0</v>
      </c>
      <c r="D40">
        <v>0</v>
      </c>
      <c r="E40">
        <v>0</v>
      </c>
      <c r="F40">
        <v>0</v>
      </c>
      <c r="G40">
        <v>0</v>
      </c>
      <c r="J40" s="69"/>
      <c r="K40" s="69"/>
      <c r="L40" s="69"/>
      <c r="M40" s="69"/>
      <c r="N40" s="69"/>
      <c r="O40" s="69"/>
      <c r="P40" s="69"/>
      <c r="Q40" s="69"/>
      <c r="R40" s="69"/>
      <c r="S40" s="69"/>
      <c r="T40" s="69"/>
      <c r="U40" s="1"/>
      <c r="V40" s="1"/>
      <c r="W40" s="1"/>
      <c r="X40" s="1"/>
      <c r="Y40" s="1"/>
      <c r="Z40" s="1"/>
      <c r="AA40" s="1"/>
    </row>
    <row r="41" spans="1:27" ht="14.25" x14ac:dyDescent="0.2">
      <c r="A41" s="1"/>
      <c r="B41" s="1"/>
      <c r="C41" s="1"/>
      <c r="D41" s="1"/>
      <c r="E41" s="1"/>
      <c r="F41" s="1"/>
      <c r="G41" s="1"/>
      <c r="H41" s="1"/>
      <c r="I41" s="1"/>
      <c r="J41" s="1"/>
      <c r="K41" s="70" t="s">
        <v>62</v>
      </c>
      <c r="L41" s="1"/>
      <c r="M41" s="324" t="s">
        <v>141</v>
      </c>
      <c r="N41" s="325"/>
      <c r="O41" s="325"/>
      <c r="P41" s="325"/>
      <c r="Q41" s="325"/>
      <c r="R41" s="325"/>
      <c r="S41" s="325"/>
      <c r="T41" s="326"/>
      <c r="U41" s="1"/>
      <c r="V41" s="1"/>
      <c r="W41" s="1"/>
      <c r="X41" s="1"/>
      <c r="Y41" s="1"/>
      <c r="Z41" s="1"/>
      <c r="AA41" s="1"/>
    </row>
    <row r="42" spans="1:27"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4.25" x14ac:dyDescent="0.2">
      <c r="A43" s="1"/>
      <c r="B43" s="1"/>
      <c r="C43" s="1"/>
      <c r="D43" s="1"/>
      <c r="E43" s="1"/>
      <c r="F43" s="1"/>
      <c r="G43" s="1"/>
      <c r="H43" s="1"/>
      <c r="I43" s="1"/>
      <c r="J43" s="1"/>
      <c r="K43" s="76" t="s">
        <v>21</v>
      </c>
      <c r="L43" s="1"/>
      <c r="M43" s="1"/>
      <c r="N43" s="1"/>
      <c r="O43" s="1"/>
      <c r="P43" s="1"/>
      <c r="Q43" s="1"/>
      <c r="R43" s="1"/>
      <c r="S43" s="1"/>
      <c r="T43" s="75"/>
      <c r="U43" s="1"/>
      <c r="V43" s="1"/>
      <c r="W43" s="1"/>
      <c r="X43" s="1"/>
      <c r="Y43" s="1"/>
      <c r="Z43" s="1"/>
      <c r="AA43" s="1"/>
    </row>
    <row r="44" spans="1:27" ht="12.75" customHeight="1" x14ac:dyDescent="0.2">
      <c r="A44" s="1"/>
      <c r="B44" s="1"/>
      <c r="C44" s="1"/>
      <c r="D44" s="1"/>
      <c r="E44" s="1"/>
      <c r="F44" s="1"/>
      <c r="G44" s="1"/>
      <c r="H44" s="1"/>
      <c r="I44" s="1"/>
      <c r="J44" s="1"/>
      <c r="K44" s="318" t="s">
        <v>267</v>
      </c>
      <c r="L44" s="319"/>
      <c r="M44" s="319"/>
      <c r="N44" s="319"/>
      <c r="O44" s="319"/>
      <c r="P44" s="319"/>
      <c r="Q44" s="319"/>
      <c r="R44" s="319"/>
      <c r="S44" s="319"/>
      <c r="T44" s="320"/>
      <c r="U44" s="1"/>
      <c r="V44" s="1"/>
      <c r="W44" s="1"/>
      <c r="X44" s="1"/>
      <c r="Y44" s="1"/>
      <c r="Z44" s="1"/>
      <c r="AA44" s="1"/>
    </row>
    <row r="45" spans="1:27" x14ac:dyDescent="0.2">
      <c r="A45" s="1"/>
      <c r="B45" s="1"/>
      <c r="C45" s="1"/>
      <c r="D45" s="1"/>
      <c r="E45" s="1"/>
      <c r="F45" s="1"/>
      <c r="G45" s="1"/>
      <c r="H45" s="1"/>
      <c r="I45" s="1"/>
      <c r="J45" s="1"/>
      <c r="K45" s="318"/>
      <c r="L45" s="319"/>
      <c r="M45" s="319"/>
      <c r="N45" s="319"/>
      <c r="O45" s="319"/>
      <c r="P45" s="319"/>
      <c r="Q45" s="319"/>
      <c r="R45" s="319"/>
      <c r="S45" s="319"/>
      <c r="T45" s="320"/>
      <c r="U45" s="1"/>
      <c r="V45" s="1"/>
      <c r="W45" s="1"/>
      <c r="X45" s="1"/>
      <c r="Y45" s="1"/>
      <c r="Z45" s="1"/>
      <c r="AA45" s="1"/>
    </row>
    <row r="46" spans="1:27" x14ac:dyDescent="0.2">
      <c r="A46" s="1"/>
      <c r="B46" s="1"/>
      <c r="C46" s="1"/>
      <c r="D46" s="1"/>
      <c r="E46" s="1"/>
      <c r="F46" s="1"/>
      <c r="G46" s="1"/>
      <c r="H46" s="1"/>
      <c r="I46" s="1"/>
      <c r="J46" s="1"/>
      <c r="K46" s="321"/>
      <c r="L46" s="322"/>
      <c r="M46" s="322"/>
      <c r="N46" s="322"/>
      <c r="O46" s="322"/>
      <c r="P46" s="322"/>
      <c r="Q46" s="322"/>
      <c r="R46" s="322"/>
      <c r="S46" s="322"/>
      <c r="T46" s="323"/>
      <c r="U46" s="1"/>
      <c r="V46" s="1"/>
      <c r="W46" s="1"/>
      <c r="X46" s="1"/>
      <c r="Y46" s="1"/>
      <c r="Z46" s="1"/>
      <c r="AA46" s="1"/>
    </row>
    <row r="47" spans="1:27" ht="14.25" x14ac:dyDescent="0.2">
      <c r="A47" s="1"/>
      <c r="B47" s="1"/>
      <c r="C47" s="1"/>
      <c r="D47" s="1"/>
      <c r="E47" s="1"/>
      <c r="F47" s="1"/>
      <c r="G47" s="1"/>
      <c r="H47" s="1"/>
      <c r="I47" s="1"/>
      <c r="J47" s="1"/>
      <c r="K47" s="180"/>
      <c r="L47" s="180"/>
      <c r="M47" s="180"/>
      <c r="N47" s="180"/>
      <c r="O47" s="180"/>
      <c r="P47" s="180"/>
      <c r="Q47" s="180"/>
      <c r="R47" s="180"/>
      <c r="S47" s="180"/>
      <c r="T47" s="180"/>
      <c r="U47" s="1"/>
      <c r="V47" s="1"/>
      <c r="W47" s="1"/>
      <c r="X47" s="1"/>
      <c r="Y47" s="1"/>
      <c r="Z47" s="1"/>
      <c r="AA47" s="1"/>
    </row>
    <row r="48" spans="1:27" ht="15" x14ac:dyDescent="0.25">
      <c r="A48" s="1"/>
      <c r="B48" s="1"/>
      <c r="C48" s="1"/>
      <c r="D48" s="1"/>
      <c r="E48" s="1"/>
      <c r="F48" s="1"/>
      <c r="G48" s="1"/>
      <c r="H48" s="1"/>
      <c r="I48" s="1"/>
      <c r="J48" s="1"/>
      <c r="K48" s="315"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8" s="316"/>
      <c r="M48" s="316"/>
      <c r="N48" s="316"/>
      <c r="O48" s="316"/>
      <c r="P48" s="316"/>
      <c r="Q48" s="316"/>
      <c r="R48" s="316"/>
      <c r="S48" s="316"/>
      <c r="T48" s="317"/>
      <c r="U48" s="1"/>
      <c r="V48" s="1"/>
      <c r="W48" s="1"/>
      <c r="X48" s="1"/>
      <c r="Y48" s="1"/>
      <c r="Z48" s="1"/>
      <c r="AA48" s="1"/>
    </row>
    <row r="49" spans="1:27"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21"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x14ac:dyDescent="0.2">
      <c r="A51" s="1"/>
      <c r="B51" s="1"/>
      <c r="C51" s="1"/>
      <c r="D51" s="1"/>
      <c r="E51" s="1"/>
      <c r="F51" s="1"/>
      <c r="G51" s="1"/>
      <c r="H51" s="1"/>
      <c r="I51" s="1"/>
      <c r="J51" s="1"/>
      <c r="K51" s="328" t="str">
        <f>Import.Município</f>
        <v>TUCUNDUVA RS</v>
      </c>
      <c r="L51" s="328"/>
      <c r="M51" s="328"/>
      <c r="N51" s="1"/>
      <c r="O51" s="1"/>
      <c r="P51" s="1"/>
      <c r="Q51" s="1"/>
      <c r="R51" s="1"/>
      <c r="S51" s="1"/>
      <c r="T51" s="1"/>
      <c r="U51" s="1"/>
      <c r="V51" s="1"/>
      <c r="W51" s="1"/>
      <c r="X51" s="1"/>
      <c r="Y51" s="1"/>
      <c r="Z51" s="1"/>
      <c r="AA51" s="1"/>
    </row>
    <row r="52" spans="1:27" x14ac:dyDescent="0.2">
      <c r="A52" s="1"/>
      <c r="B52" s="1"/>
      <c r="C52" s="1"/>
      <c r="D52" s="1"/>
      <c r="E52" s="1"/>
      <c r="F52" s="1"/>
      <c r="G52" s="1"/>
      <c r="H52" s="1"/>
      <c r="I52" s="1"/>
      <c r="J52" s="1"/>
      <c r="K52" s="97" t="s">
        <v>120</v>
      </c>
      <c r="L52" s="1"/>
      <c r="M52" s="1"/>
      <c r="N52" s="1"/>
      <c r="O52" s="1"/>
      <c r="P52" s="1"/>
      <c r="Q52" s="1"/>
      <c r="R52" s="1"/>
      <c r="S52" s="1"/>
      <c r="T52" s="1"/>
      <c r="U52" s="1"/>
      <c r="V52" s="1"/>
      <c r="W52" s="1"/>
      <c r="X52" s="1"/>
      <c r="Y52" s="1"/>
      <c r="Z52" s="1"/>
      <c r="AA52" s="1"/>
    </row>
    <row r="53" spans="1:27"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x14ac:dyDescent="0.2">
      <c r="A54" s="1"/>
      <c r="B54" s="1"/>
      <c r="C54" s="1"/>
      <c r="D54" s="1"/>
      <c r="E54" s="1"/>
      <c r="F54" s="1"/>
      <c r="G54" s="1"/>
      <c r="H54" s="1"/>
      <c r="I54" s="1"/>
      <c r="J54" s="1"/>
      <c r="K54" s="327">
        <f ca="1">TODAY()</f>
        <v>46084</v>
      </c>
      <c r="L54" s="327"/>
      <c r="M54" s="327"/>
      <c r="N54" s="1"/>
      <c r="O54" s="1"/>
      <c r="P54" s="1"/>
      <c r="Q54" s="1"/>
      <c r="R54" s="1"/>
      <c r="S54" s="1"/>
      <c r="T54" s="1"/>
      <c r="U54" s="1"/>
      <c r="V54" s="1"/>
      <c r="W54" s="1"/>
      <c r="X54" s="1"/>
      <c r="Y54" s="1"/>
      <c r="Z54" s="1"/>
      <c r="AA54" s="1"/>
    </row>
    <row r="55" spans="1:27" x14ac:dyDescent="0.2">
      <c r="A55" s="1"/>
      <c r="B55" s="1"/>
      <c r="C55" s="1"/>
      <c r="D55" s="1"/>
      <c r="E55" s="1"/>
      <c r="F55" s="1"/>
      <c r="G55" s="1"/>
      <c r="H55" s="1"/>
      <c r="I55" s="1"/>
      <c r="J55" s="1"/>
      <c r="K55" s="119" t="s">
        <v>121</v>
      </c>
      <c r="L55" s="69"/>
      <c r="M55" s="69"/>
      <c r="N55" s="1"/>
      <c r="O55" s="1"/>
      <c r="P55" s="1"/>
      <c r="Q55" s="1"/>
      <c r="R55" s="1"/>
      <c r="S55" s="1"/>
      <c r="T55" s="1"/>
      <c r="U55" s="1"/>
      <c r="V55" s="1"/>
      <c r="W55" s="1"/>
      <c r="X55" s="1"/>
      <c r="Y55" s="1"/>
      <c r="Z55" s="1"/>
      <c r="AA55" s="1"/>
    </row>
  </sheetData>
  <sheetProtection algorithmName="SHA-512" hashValue="n8CXV4wQyMw4e1uxWj3yAsAuJMs8Xgy2WCCvrgx213kfzEqxHu+IruP0hP4EnwPSn5mGowss13IjwP+geOO8rA==" saltValue="bJpzpWjHT3TovwqkLxNLjQ==" spinCount="100000" sheet="1" objects="1" scenarios="1"/>
  <mergeCells count="6">
    <mergeCell ref="W2:X2"/>
    <mergeCell ref="K48:T48"/>
    <mergeCell ref="K44:T46"/>
    <mergeCell ref="M41:T41"/>
    <mergeCell ref="K54:M54"/>
    <mergeCell ref="K51:M51"/>
  </mergeCells>
  <phoneticPr fontId="26" type="noConversion"/>
  <conditionalFormatting sqref="O12:R12 L12:M12">
    <cfRule type="expression" dxfId="280" priority="2290" stopIfTrue="1">
      <formula>$J12=$C$2</formula>
    </cfRule>
    <cfRule type="expression" dxfId="279" priority="2291" stopIfTrue="1">
      <formula>UPPER(LEFT($J12,5))="NÍVEL"</formula>
    </cfRule>
    <cfRule type="expression" dxfId="278" priority="2292" stopIfTrue="1">
      <formula>$J12=$C$8</formula>
    </cfRule>
  </conditionalFormatting>
  <conditionalFormatting sqref="Y12:Z12 S12:T12 K12">
    <cfRule type="expression" dxfId="277" priority="2293" stopIfTrue="1">
      <formula>$J12=$C$2</formula>
    </cfRule>
    <cfRule type="expression" dxfId="276" priority="2294" stopIfTrue="1">
      <formula>UPPER(LEFT($J12,5))="NÍVEL"</formula>
    </cfRule>
  </conditionalFormatting>
  <conditionalFormatting sqref="K11 K13:K14 K16:K39">
    <cfRule type="expression" dxfId="275" priority="2306" stopIfTrue="1">
      <formula>$J11=$C$2</formula>
    </cfRule>
    <cfRule type="expression" dxfId="274" priority="2307" stopIfTrue="1">
      <formula>AND($J11&lt;&gt;"",$J11&lt;&gt;"Serviço")</formula>
    </cfRule>
    <cfRule type="expression" dxfId="273" priority="2308" stopIfTrue="1">
      <formula>$J11=""</formula>
    </cfRule>
  </conditionalFormatting>
  <conditionalFormatting sqref="P11 P13:P14 P16:P39">
    <cfRule type="expression" dxfId="272" priority="633" stopIfTrue="1">
      <formula>$J11=$C$2</formula>
    </cfRule>
    <cfRule type="expression" dxfId="271" priority="2312" stopIfTrue="1">
      <formula>AND($J11&lt;&gt;"Serviço")</formula>
    </cfRule>
    <cfRule type="expression" dxfId="270" priority="2313" stopIfTrue="1">
      <formula>CELL("proteger",P11)</formula>
    </cfRule>
  </conditionalFormatting>
  <conditionalFormatting sqref="Q11:R11 Q13:R14 Q16:R39">
    <cfRule type="expression" dxfId="269" priority="2314" stopIfTrue="1">
      <formula>$J11=$C$2</formula>
    </cfRule>
    <cfRule type="expression" dxfId="268" priority="2315" stopIfTrue="1">
      <formula>$J11&lt;&gt;"Serviço"</formula>
    </cfRule>
    <cfRule type="expression" dxfId="267" priority="2316" stopIfTrue="1">
      <formula>CELL("proteger",Q11)</formula>
    </cfRule>
  </conditionalFormatting>
  <conditionalFormatting sqref="S11:T11 Y11:Z11 S13:T14 Y13:Z14 S16:T39 Y16:Z39">
    <cfRule type="expression" dxfId="266" priority="2317" stopIfTrue="1">
      <formula>$J11=$C$2</formula>
    </cfRule>
    <cfRule type="expression" dxfId="265" priority="2318" stopIfTrue="1">
      <formula>$J11&lt;&gt;"Serviço"</formula>
    </cfRule>
  </conditionalFormatting>
  <conditionalFormatting sqref="L11:M11 L13:M14 L16:M39">
    <cfRule type="expression" dxfId="264" priority="2338" stopIfTrue="1">
      <formula>$J11=$C$2</formula>
    </cfRule>
    <cfRule type="expression" dxfId="263" priority="2339" stopIfTrue="1">
      <formula>$J11&lt;&gt;"Serviço"</formula>
    </cfRule>
    <cfRule type="expression" dxfId="262" priority="2340" stopIfTrue="1">
      <formula>OR(CELL("proteger",L11),$J11="",TipoOrçamento="Licitado")</formula>
    </cfRule>
  </conditionalFormatting>
  <conditionalFormatting sqref="K41:T41">
    <cfRule type="expression" dxfId="261" priority="2319" stopIfTrue="1">
      <formula>OR(Tipo.Orçamento="LICITADO",Tipo.Orçamento="REPROGRAMADOAC")</formula>
    </cfRule>
    <cfRule type="expression" dxfId="260" priority="2320" stopIfTrue="1">
      <formula>$M$41=""</formula>
    </cfRule>
  </conditionalFormatting>
  <conditionalFormatting sqref="J11 J13:J39">
    <cfRule type="expression" dxfId="259" priority="2347" stopIfTrue="1">
      <formula>TipoOrçamento="Licitado"</formula>
    </cfRule>
  </conditionalFormatting>
  <conditionalFormatting sqref="O11 O13:O14 O16:O39">
    <cfRule type="expression" dxfId="258" priority="653" stopIfTrue="1">
      <formula>$J11=$C$2</formula>
    </cfRule>
    <cfRule type="expression" dxfId="257" priority="654" stopIfTrue="1">
      <formula>AND($J11&lt;&gt;"Serviço")</formula>
    </cfRule>
    <cfRule type="expression" dxfId="256" priority="655" stopIfTrue="1">
      <formula>CELL("proteger",O11)</formula>
    </cfRule>
  </conditionalFormatting>
  <conditionalFormatting sqref="N11 N14 N17:N39">
    <cfRule type="expression" dxfId="255" priority="656" stopIfTrue="1">
      <formula>$J11=$C$2</formula>
    </cfRule>
    <cfRule type="expression" dxfId="254" priority="657" stopIfTrue="1">
      <formula>$J11&lt;&gt;"Serviço"</formula>
    </cfRule>
    <cfRule type="expression" dxfId="253" priority="658" stopIfTrue="1">
      <formula>CELL("proteger",N11)</formula>
    </cfRule>
  </conditionalFormatting>
  <conditionalFormatting sqref="N13">
    <cfRule type="expression" dxfId="252" priority="522" stopIfTrue="1">
      <formula>$J13=$C$2</formula>
    </cfRule>
    <cfRule type="expression" dxfId="251" priority="523" stopIfTrue="1">
      <formula>$J13&lt;&gt;"Serviço"</formula>
    </cfRule>
    <cfRule type="expression" dxfId="250" priority="524" stopIfTrue="1">
      <formula>CELL("proteger",N13)</formula>
    </cfRule>
  </conditionalFormatting>
  <conditionalFormatting sqref="K15">
    <cfRule type="expression" dxfId="249" priority="67" stopIfTrue="1">
      <formula>$J15=$C$2</formula>
    </cfRule>
    <cfRule type="expression" dxfId="248" priority="68" stopIfTrue="1">
      <formula>AND($J15&lt;&gt;"",$J15&lt;&gt;"Serviço")</formula>
    </cfRule>
    <cfRule type="expression" dxfId="247" priority="69" stopIfTrue="1">
      <formula>$J15=""</formula>
    </cfRule>
  </conditionalFormatting>
  <conditionalFormatting sqref="P15">
    <cfRule type="expression" dxfId="246" priority="60" stopIfTrue="1">
      <formula>$J15=$C$2</formula>
    </cfRule>
    <cfRule type="expression" dxfId="245" priority="70" stopIfTrue="1">
      <formula>AND($J15&lt;&gt;"Serviço")</formula>
    </cfRule>
    <cfRule type="expression" dxfId="244" priority="71" stopIfTrue="1">
      <formula>CELL("proteger",P15)</formula>
    </cfRule>
  </conditionalFormatting>
  <conditionalFormatting sqref="Q15:R15">
    <cfRule type="expression" dxfId="243" priority="72" stopIfTrue="1">
      <formula>$J15=$C$2</formula>
    </cfRule>
    <cfRule type="expression" dxfId="242" priority="73" stopIfTrue="1">
      <formula>$J15&lt;&gt;"Serviço"</formula>
    </cfRule>
    <cfRule type="expression" dxfId="241" priority="74" stopIfTrue="1">
      <formula>CELL("proteger",Q15)</formula>
    </cfRule>
  </conditionalFormatting>
  <conditionalFormatting sqref="S15:T15 Y15:Z15">
    <cfRule type="expression" dxfId="240" priority="75" stopIfTrue="1">
      <formula>$J15=$C$2</formula>
    </cfRule>
    <cfRule type="expression" dxfId="239" priority="76" stopIfTrue="1">
      <formula>$J15&lt;&gt;"Serviço"</formula>
    </cfRule>
  </conditionalFormatting>
  <conditionalFormatting sqref="O15">
    <cfRule type="expression" dxfId="238" priority="61" stopIfTrue="1">
      <formula>$J15=$C$2</formula>
    </cfRule>
    <cfRule type="expression" dxfId="237" priority="62" stopIfTrue="1">
      <formula>AND($J15&lt;&gt;"Serviço")</formula>
    </cfRule>
    <cfRule type="expression" dxfId="236" priority="63" stopIfTrue="1">
      <formula>CELL("proteger",O15)</formula>
    </cfRule>
  </conditionalFormatting>
  <conditionalFormatting sqref="N15:N16">
    <cfRule type="expression" dxfId="235" priority="64" stopIfTrue="1">
      <formula>$J15=$C$2</formula>
    </cfRule>
    <cfRule type="expression" dxfId="234" priority="65" stopIfTrue="1">
      <formula>$J15&lt;&gt;"Serviço"</formula>
    </cfRule>
    <cfRule type="expression" dxfId="233" priority="66" stopIfTrue="1">
      <formula>CELL("proteger",N15)</formula>
    </cfRule>
  </conditionalFormatting>
  <conditionalFormatting sqref="L15:M15">
    <cfRule type="expression" dxfId="232" priority="49" stopIfTrue="1">
      <formula>$J15=$C$2</formula>
    </cfRule>
    <cfRule type="expression" dxfId="231" priority="50" stopIfTrue="1">
      <formula>$J15&lt;&gt;"Serviço"</formula>
    </cfRule>
    <cfRule type="expression" dxfId="230" priority="51" stopIfTrue="1">
      <formula>OR(CELL("proteger",L15),$J15="",TipoOrçamento="Licitado")</formula>
    </cfRule>
  </conditionalFormatting>
  <dataValidations count="3">
    <dataValidation type="decimal" operator="greaterThan" allowBlank="1" showInputMessage="1" showErrorMessage="1" error="Apenas números decimais maiores que zero." sqref="Q11 Q13:Q39"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9"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9" xr:uid="{00000000-0002-0000-0200-000002000000}">
      <formula1>$C$2:$G$2</formula1>
    </dataValidation>
  </dataValidations>
  <pageMargins left="0.78740157480314965" right="0.78740157480314965" top="0" bottom="0" header="0.19685039370078741" footer="0.19685039370078741"/>
  <pageSetup paperSize="9" scale="47" orientation="landscape" r:id="rId1"/>
  <headerFooter alignWithMargins="0">
    <oddHeader>&amp;C&amp;14I</oddHeader>
    <oddFooter>&amp;R&amp;P&amp;L27.476 v008   micro</oddFooter>
  </headerFooter>
  <ignoredErrors>
    <ignoredError sqref="K51 K54"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46"/>
  <sheetViews>
    <sheetView showGridLines="0" zoomScale="80" zoomScaleNormal="80" zoomScaleSheetLayoutView="100" workbookViewId="0">
      <pane xSplit="5" ySplit="10" topLeftCell="F23" activePane="bottomRight" state="frozen"/>
      <selection pane="topRight"/>
      <selection pane="bottomLeft"/>
      <selection pane="bottomRight" activeCell="F37" sqref="F37"/>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58" t="s">
        <v>243</v>
      </c>
      <c r="G9" s="358"/>
      <c r="H9" s="358"/>
      <c r="I9" s="358"/>
      <c r="J9" s="358"/>
      <c r="K9" s="358"/>
      <c r="L9" s="358"/>
      <c r="M9" s="358"/>
      <c r="N9" s="358"/>
      <c r="O9" s="358"/>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PAVIMENTAÇÃO</v>
      </c>
      <c r="D13" s="111" t="str">
        <f ca="1">IF(OFFSET(PO!O$12,ROW(D13)-ROW(D$12),0)=0,"",OFFSET(PO!O$12,ROW(D13)-ROW(D$12),0))</f>
        <v/>
      </c>
      <c r="E13" s="140">
        <f ca="1">IF($A13&lt;&gt;"Serviço",0,ROUND(SUMIF($F$9:$P$9,"&lt;&gt;",$F13:$P13),15-13*PO!$X$3))</f>
        <v>0</v>
      </c>
      <c r="F13" s="357"/>
      <c r="G13" s="357"/>
      <c r="H13" s="357"/>
      <c r="I13" s="357"/>
      <c r="J13" s="357"/>
      <c r="K13" s="357"/>
      <c r="L13" s="357"/>
      <c r="M13" s="357"/>
      <c r="N13" s="357"/>
      <c r="O13" s="357"/>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357">
        <v>6860.48</v>
      </c>
      <c r="G14" s="357"/>
      <c r="H14" s="357"/>
      <c r="I14" s="357"/>
      <c r="J14" s="357"/>
      <c r="K14" s="357"/>
      <c r="L14" s="357"/>
      <c r="M14" s="357"/>
      <c r="N14" s="357"/>
      <c r="O14" s="357"/>
      <c r="U14" s="182"/>
    </row>
    <row r="15" spans="1:21" s="1" customFormat="1" ht="25.5" x14ac:dyDescent="0.2">
      <c r="A15" s="110" t="str">
        <f ca="1">OFFSET(PO!J$12,ROW(A15)-ROW($A$12),0)</f>
        <v>Serviço</v>
      </c>
      <c r="B15" s="112" t="str">
        <f ca="1">IF($A15=0,"",OFFSET(PO!K$12,ROW(B15)-ROW(B$12),0))</f>
        <v>1.1.1.</v>
      </c>
      <c r="C15" s="109" t="str">
        <f ca="1">IF(OFFSET(PO!N$12,ROW(C15)-ROW(C$12),0)=0,"",OFFSET(PO!N$12,ROW(C15)-ROW(C$12),0))</f>
        <v>SERVIÇOS TOPOGRAFICOS PARA PAVIMENTAÇÃO, INCLUSIVE NOTA DE SERVIÇOS, ACOMPANHAMENTO E GREIDE</v>
      </c>
      <c r="D15" s="111" t="str">
        <f ca="1">IF(OFFSET(PO!O$12,ROW(D15)-ROW(D$12),0)=0,"",OFFSET(PO!O$12,ROW(D15)-ROW(D$12),0))</f>
        <v>M2</v>
      </c>
      <c r="E15" s="140">
        <f ca="1">IF($A15&lt;&gt;"Serviço",0,ROUND(SUMIF($F$9:$P$9,"&lt;&gt;",$F15:$P15),15-13*PO!$X$3))</f>
        <v>2295.7199999999998</v>
      </c>
      <c r="F15" s="357">
        <v>2295.7199999999998</v>
      </c>
      <c r="G15" s="357"/>
      <c r="H15" s="357"/>
      <c r="I15" s="357"/>
      <c r="J15" s="357"/>
      <c r="K15" s="357"/>
      <c r="L15" s="357"/>
      <c r="M15" s="357"/>
      <c r="N15" s="357"/>
      <c r="O15" s="357"/>
      <c r="U15" s="182"/>
    </row>
    <row r="16" spans="1:21" s="1" customFormat="1" ht="38.25" x14ac:dyDescent="0.2">
      <c r="A16" s="110" t="str">
        <f ca="1">OFFSET(PO!J$12,ROW(A16)-ROW($A$12),0)</f>
        <v>Serviço</v>
      </c>
      <c r="B16" s="112" t="str">
        <f ca="1">IF($A16=0,"",OFFSET(PO!K$12,ROW(B16)-ROW(B$12),0))</f>
        <v>1.1.2.</v>
      </c>
      <c r="C16" s="109" t="str">
        <f ca="1">IF(OFFSET(PO!N$12,ROW(C16)-ROW(C$12),0)=0,"",OFFSET(PO!N$12,ROW(C16)-ROW(C$12),0))</f>
        <v>FORNECIMENTO E INSTALAÇÃO DE PLACA DE OBRA COM CHAPA GALVANIZADA E ESTRUTURA DE MADEIRA. AF_03/2022_PS</v>
      </c>
      <c r="D16" s="111" t="str">
        <f ca="1">IF(OFFSET(PO!O$12,ROW(D16)-ROW(D$12),0)=0,"",OFFSET(PO!O$12,ROW(D16)-ROW(D$12),0))</f>
        <v>M2</v>
      </c>
      <c r="E16" s="140">
        <f ca="1">IF($A16&lt;&gt;"Serviço",0,ROUND(SUMIF($F$9:$P$9,"&lt;&gt;",$F16:$P16),15-13*PO!$X$3))</f>
        <v>2.88</v>
      </c>
      <c r="F16" s="357">
        <v>2.88</v>
      </c>
      <c r="G16" s="357"/>
      <c r="H16" s="357"/>
      <c r="I16" s="357"/>
      <c r="J16" s="357"/>
      <c r="K16" s="357"/>
      <c r="L16" s="357"/>
      <c r="M16" s="357"/>
      <c r="N16" s="357"/>
      <c r="O16" s="357"/>
      <c r="U16" s="182"/>
    </row>
    <row r="17" spans="1:21" s="1" customFormat="1" ht="25.5" x14ac:dyDescent="0.2">
      <c r="A17" s="110" t="str">
        <f ca="1">OFFSET(PO!J$12,ROW(A17)-ROW($A$12),0)</f>
        <v>Serviço</v>
      </c>
      <c r="B17" s="112" t="str">
        <f ca="1">IF($A17=0,"",OFFSET(PO!K$12,ROW(B17)-ROW(B$12),0))</f>
        <v>1.1.3.</v>
      </c>
      <c r="C17" s="109" t="str">
        <f ca="1">IF(OFFSET(PO!N$12,ROW(C17)-ROW(C$12),0)=0,"",OFFSET(PO!N$12,ROW(C17)-ROW(C$12),0))</f>
        <v>LIMPEZA DE SUPERFÍCIE COM JATO DE ALTA PRESSÃO. AF_04/2019</v>
      </c>
      <c r="D17" s="111" t="str">
        <f ca="1">IF(OFFSET(PO!O$12,ROW(D17)-ROW(D$12),0)=0,"",OFFSET(PO!O$12,ROW(D17)-ROW(D$12),0))</f>
        <v>M2</v>
      </c>
      <c r="E17" s="140">
        <f ca="1">IF($A17&lt;&gt;"Serviço",0,ROUND(SUMIF($F$9:$P$9,"&lt;&gt;",$F17:$P17),15-13*PO!$X$3))</f>
        <v>2295.7199999999998</v>
      </c>
      <c r="F17" s="357">
        <v>2295.7199999999998</v>
      </c>
      <c r="G17" s="357"/>
      <c r="H17" s="357"/>
      <c r="I17" s="357"/>
      <c r="J17" s="357"/>
      <c r="K17" s="357"/>
      <c r="L17" s="357"/>
      <c r="M17" s="357"/>
      <c r="N17" s="357"/>
      <c r="O17" s="357"/>
      <c r="U17" s="182"/>
    </row>
    <row r="18" spans="1:21" s="1" customFormat="1" x14ac:dyDescent="0.2">
      <c r="A18" s="110" t="str">
        <f ca="1">OFFSET(PO!J$12,ROW(A18)-ROW($A$12),0)</f>
        <v>Serviço</v>
      </c>
      <c r="B18" s="112" t="str">
        <f ca="1">IF($A18=0,"",OFFSET(PO!K$12,ROW(B18)-ROW(B$12),0))</f>
        <v>1.1.4.</v>
      </c>
      <c r="C18" s="109" t="str">
        <f ca="1">IF(OFFSET(PO!N$12,ROW(C18)-ROW(C$12),0)=0,"",OFFSET(PO!N$12,ROW(C18)-ROW(C$12),0))</f>
        <v>MOBILIZAÇÃO/DESMOBILIZAÇÃO DE EQUIPAMENTOS</v>
      </c>
      <c r="D18" s="111" t="str">
        <f ca="1">IF(OFFSET(PO!O$12,ROW(D18)-ROW(D$12),0)=0,"",OFFSET(PO!O$12,ROW(D18)-ROW(D$12),0))</f>
        <v>UN</v>
      </c>
      <c r="E18" s="140">
        <f ca="1">IF($A18&lt;&gt;"Serviço",0,ROUND(SUMIF($F$9:$P$9,"&lt;&gt;",$F18:$P18),15-13*PO!$X$3))</f>
        <v>1</v>
      </c>
      <c r="F18" s="357">
        <v>1</v>
      </c>
      <c r="G18" s="357"/>
      <c r="H18" s="357"/>
      <c r="I18" s="357"/>
      <c r="J18" s="357"/>
      <c r="K18" s="357"/>
      <c r="L18" s="357"/>
      <c r="M18" s="357"/>
      <c r="N18" s="357"/>
      <c r="O18" s="357"/>
      <c r="U18" s="182"/>
    </row>
    <row r="19" spans="1:21" s="1" customFormat="1" x14ac:dyDescent="0.2">
      <c r="A19" s="110" t="str">
        <f ca="1">OFFSET(PO!J$12,ROW(A19)-ROW($A$12),0)</f>
        <v>Nível 2</v>
      </c>
      <c r="B19" s="112" t="str">
        <f ca="1">IF($A19=0,"",OFFSET(PO!K$12,ROW(B19)-ROW(B$12),0))</f>
        <v>1.2.</v>
      </c>
      <c r="C19" s="109" t="str">
        <f ca="1">IF(OFFSET(PO!N$12,ROW(C19)-ROW(C$12),0)=0,"",OFFSET(PO!N$12,ROW(C19)-ROW(C$12),0))</f>
        <v>PAVIMENTAÇÃO DA RUA DAS INDUSTRIAS</v>
      </c>
      <c r="D19" s="111" t="str">
        <f ca="1">IF(OFFSET(PO!O$12,ROW(D19)-ROW(D$12),0)=0,"",OFFSET(PO!O$12,ROW(D19)-ROW(D$12),0))</f>
        <v/>
      </c>
      <c r="E19" s="140">
        <f ca="1">IF($A19&lt;&gt;"Serviço",0,ROUND(SUMIF($F$9:$P$9,"&lt;&gt;",$F19:$P19),15-13*PO!$X$3))</f>
        <v>0</v>
      </c>
      <c r="F19" s="357"/>
      <c r="G19" s="357"/>
      <c r="H19" s="357"/>
      <c r="I19" s="357"/>
      <c r="J19" s="357"/>
      <c r="K19" s="357"/>
      <c r="L19" s="357"/>
      <c r="M19" s="357"/>
      <c r="N19" s="357"/>
      <c r="O19" s="357"/>
      <c r="U19" s="182"/>
    </row>
    <row r="20" spans="1:21" s="1" customFormat="1" ht="25.5" x14ac:dyDescent="0.2">
      <c r="A20" s="110" t="str">
        <f ca="1">OFFSET(PO!J$12,ROW(A20)-ROW($A$12),0)</f>
        <v>Serviço</v>
      </c>
      <c r="B20" s="112" t="str">
        <f ca="1">IF($A20=0,"",OFFSET(PO!K$12,ROW(B20)-ROW(B$12),0))</f>
        <v>1.2.1.</v>
      </c>
      <c r="C20" s="109" t="str">
        <f ca="1">IF(OFFSET(PO!N$12,ROW(C20)-ROW(C$12),0)=0,"",OFFSET(PO!N$12,ROW(C20)-ROW(C$12),0))</f>
        <v>EXECUÇÃO DE PINTURA DE LIGAÇÃO COM EMULSÃO ASFÁLTICA RR-2C. AF_11/2019 - REFERÊNCIA 96402</v>
      </c>
      <c r="D20" s="111" t="str">
        <f ca="1">IF(OFFSET(PO!O$12,ROW(D20)-ROW(D$12),0)=0,"",OFFSET(PO!O$12,ROW(D20)-ROW(D$12),0))</f>
        <v>M²</v>
      </c>
      <c r="E20" s="140">
        <f ca="1">IF($A20&lt;&gt;"Serviço",0,ROUND(SUMIF($F$9:$P$9,"&lt;&gt;",$F20:$P20),15-13*PO!$X$3))</f>
        <v>2176.66</v>
      </c>
      <c r="F20" s="357">
        <v>2176.66</v>
      </c>
      <c r="G20" s="357"/>
      <c r="H20" s="357"/>
      <c r="I20" s="357"/>
      <c r="J20" s="357"/>
      <c r="K20" s="357"/>
      <c r="L20" s="357"/>
      <c r="M20" s="357"/>
      <c r="N20" s="357"/>
      <c r="O20" s="357"/>
      <c r="U20" s="182"/>
    </row>
    <row r="21" spans="1:21" s="1" customFormat="1" ht="38.25" x14ac:dyDescent="0.2">
      <c r="A21" s="110" t="str">
        <f ca="1">OFFSET(PO!J$12,ROW(A21)-ROW($A$12),0)</f>
        <v>Serviço</v>
      </c>
      <c r="B21" s="112" t="str">
        <f ca="1">IF($A21=0,"",OFFSET(PO!K$12,ROW(B21)-ROW(B$12),0))</f>
        <v>1.2.2.</v>
      </c>
      <c r="C21" s="109" t="str">
        <f ca="1">IF(OFFSET(PO!N$12,ROW(C21)-ROW(C$12),0)=0,"",OFFSET(PO!N$12,ROW(C21)-ROW(C$12),0))</f>
        <v>CONSTRUÇÃO DE PAVIMENTO C/APLICAÇÃO DE CBUQ, CAMADA DE BINDER, EXCLUSIVE TRANSPORTE, CAMADA E=3CM</v>
      </c>
      <c r="D21" s="111" t="str">
        <f ca="1">IF(OFFSET(PO!O$12,ROW(D21)-ROW(D$12),0)=0,"",OFFSET(PO!O$12,ROW(D21)-ROW(D$12),0))</f>
        <v>M³</v>
      </c>
      <c r="E21" s="140">
        <f ca="1">IF($A21&lt;&gt;"Serviço",0,ROUND(SUMIF($F$9:$P$9,"&lt;&gt;",$F21:$P21),15-13*PO!$X$3))</f>
        <v>65.3</v>
      </c>
      <c r="F21" s="357">
        <v>65.3</v>
      </c>
      <c r="G21" s="357"/>
      <c r="H21" s="357"/>
      <c r="I21" s="357"/>
      <c r="J21" s="357"/>
      <c r="K21" s="357"/>
      <c r="L21" s="357"/>
      <c r="M21" s="357"/>
      <c r="N21" s="357"/>
      <c r="O21" s="357"/>
      <c r="U21" s="182"/>
    </row>
    <row r="22" spans="1:21" s="1" customFormat="1" ht="25.5" x14ac:dyDescent="0.2">
      <c r="A22" s="110" t="str">
        <f ca="1">OFFSET(PO!J$12,ROW(A22)-ROW($A$12),0)</f>
        <v>Serviço</v>
      </c>
      <c r="B22" s="112" t="str">
        <f ca="1">IF($A22=0,"",OFFSET(PO!K$12,ROW(B22)-ROW(B$12),0))</f>
        <v>1.2.3.</v>
      </c>
      <c r="C22" s="109" t="str">
        <f ca="1">IF(OFFSET(PO!N$12,ROW(C22)-ROW(C$12),0)=0,"",OFFSET(PO!N$12,ROW(C22)-ROW(C$12),0))</f>
        <v>EXECUÇÃO DE PINTURA DE LIGAÇÃO COM EMULSÃO ASFÁLTICA RR-2C. AF_11/2019 - REFERÊNCIA 96402</v>
      </c>
      <c r="D22" s="111" t="str">
        <f ca="1">IF(OFFSET(PO!O$12,ROW(D22)-ROW(D$12),0)=0,"",OFFSET(PO!O$12,ROW(D22)-ROW(D$12),0))</f>
        <v>M²</v>
      </c>
      <c r="E22" s="140">
        <f ca="1">IF($A22&lt;&gt;"Serviço",0,ROUND(SUMIF($F$9:$P$9,"&lt;&gt;",$F22:$P22),15-13*PO!$X$3))</f>
        <v>2176.66</v>
      </c>
      <c r="F22" s="357">
        <v>2176.66</v>
      </c>
      <c r="G22" s="357"/>
      <c r="H22" s="357"/>
      <c r="I22" s="357"/>
      <c r="J22" s="357"/>
      <c r="K22" s="357"/>
      <c r="L22" s="357"/>
      <c r="M22" s="357"/>
      <c r="N22" s="357"/>
      <c r="O22" s="357"/>
      <c r="U22" s="182"/>
    </row>
    <row r="23" spans="1:21" s="1" customFormat="1" ht="38.25" x14ac:dyDescent="0.2">
      <c r="A23" s="110" t="str">
        <f ca="1">OFFSET(PO!J$12,ROW(A23)-ROW($A$12),0)</f>
        <v>Serviço</v>
      </c>
      <c r="B23" s="112" t="str">
        <f ca="1">IF($A23=0,"",OFFSET(PO!K$12,ROW(B23)-ROW(B$12),0))</f>
        <v>1.2.4.</v>
      </c>
      <c r="C23" s="109" t="str">
        <f ca="1">IF(OFFSET(PO!N$12,ROW(C23)-ROW(C$12),0)=0,"",OFFSET(PO!N$12,ROW(C23)-ROW(C$12),0))</f>
        <v>CONSTRUÇÃO DE PAVIMENTO C/APLICAÇÃO DE CBUQ, CAMADA DE ROLAMENTO, EXCLUSIVE TRANSPORTE, CAMADA E=3CM</v>
      </c>
      <c r="D23" s="111" t="str">
        <f ca="1">IF(OFFSET(PO!O$12,ROW(D23)-ROW(D$12),0)=0,"",OFFSET(PO!O$12,ROW(D23)-ROW(D$12),0))</f>
        <v>M³</v>
      </c>
      <c r="E23" s="140">
        <f ca="1">IF($A23&lt;&gt;"Serviço",0,ROUND(SUMIF($F$9:$P$9,"&lt;&gt;",$F23:$P23),15-13*PO!$X$3))</f>
        <v>65.3</v>
      </c>
      <c r="F23" s="357">
        <v>65.3</v>
      </c>
      <c r="G23" s="357"/>
      <c r="H23" s="357"/>
      <c r="I23" s="357"/>
      <c r="J23" s="357"/>
      <c r="K23" s="357"/>
      <c r="L23" s="357"/>
      <c r="M23" s="357"/>
      <c r="N23" s="357"/>
      <c r="O23" s="357"/>
      <c r="U23" s="182"/>
    </row>
    <row r="24" spans="1:21" s="1" customFormat="1" ht="38.25" x14ac:dyDescent="0.2">
      <c r="A24" s="110" t="str">
        <f ca="1">OFFSET(PO!J$12,ROW(A24)-ROW($A$12),0)</f>
        <v>Serviço</v>
      </c>
      <c r="B24" s="112" t="str">
        <f ca="1">IF($A24=0,"",OFFSET(PO!K$12,ROW(B24)-ROW(B$12),0))</f>
        <v>1.2.5.</v>
      </c>
      <c r="C24" s="109" t="str">
        <f ca="1">IF(OFFSET(PO!N$12,ROW(C24)-ROW(C$12),0)=0,"",OFFSET(PO!N$12,ROW(C24)-ROW(C$12),0))</f>
        <v>TRANSPORTE COM CAMINHÃO BASCULANTE DE 10 M³, EM VIA URBANA PAVIMENTADA, DMT ATÉ 30 KM (UNIDADE: M3XKM). AF_07/2020</v>
      </c>
      <c r="D24" s="111" t="str">
        <f ca="1">IF(OFFSET(PO!O$12,ROW(D24)-ROW(D$12),0)=0,"",OFFSET(PO!O$12,ROW(D24)-ROW(D$12),0))</f>
        <v>M3XKM</v>
      </c>
      <c r="E24" s="140">
        <f ca="1">IF($A24&lt;&gt;"Serviço",0,ROUND(SUMIF($F$9:$P$9,"&lt;&gt;",$F24:$P24),15-13*PO!$X$3))</f>
        <v>6308.1</v>
      </c>
      <c r="F24" s="357">
        <v>6308.1</v>
      </c>
      <c r="G24" s="357"/>
      <c r="H24" s="357"/>
      <c r="I24" s="357"/>
      <c r="J24" s="357"/>
      <c r="K24" s="357"/>
      <c r="L24" s="357"/>
      <c r="M24" s="357"/>
      <c r="N24" s="357"/>
      <c r="O24" s="357"/>
      <c r="U24" s="182"/>
    </row>
    <row r="25" spans="1:21" s="1" customFormat="1" ht="38.25" x14ac:dyDescent="0.2">
      <c r="A25" s="110" t="str">
        <f ca="1">OFFSET(PO!J$12,ROW(A25)-ROW($A$12),0)</f>
        <v>Serviço</v>
      </c>
      <c r="B25" s="112" t="str">
        <f ca="1">IF($A25=0,"",OFFSET(PO!K$12,ROW(B25)-ROW(B$12),0))</f>
        <v>1.2.6.</v>
      </c>
      <c r="C25" s="109" t="str">
        <f ca="1">IF(OFFSET(PO!N$12,ROW(C25)-ROW(C$12),0)=0,"",OFFSET(PO!N$12,ROW(C25)-ROW(C$12),0))</f>
        <v>TRANSPORTE COM CAMINHÃO BASCULANTE DE 10 M³, EM VIA URBANA PAVIMENTADA, ADICIONAL PARA DMT EXCEDENTE A 30 KM (UNIDADE: M3XKM). AF_07/2020</v>
      </c>
      <c r="D25" s="111" t="str">
        <f ca="1">IF(OFFSET(PO!O$12,ROW(D25)-ROW(D$12),0)=0,"",OFFSET(PO!O$12,ROW(D25)-ROW(D$12),0))</f>
        <v>M3XKM</v>
      </c>
      <c r="E25" s="140">
        <f ca="1">IF($A25&lt;&gt;"Serviço",0,ROUND(SUMIF($F$9:$P$9,"&lt;&gt;",$F25:$P25),15-13*PO!$X$3))</f>
        <v>357.46</v>
      </c>
      <c r="F25" s="357">
        <v>357.46</v>
      </c>
      <c r="G25" s="357"/>
      <c r="H25" s="357"/>
      <c r="I25" s="357"/>
      <c r="J25" s="357"/>
      <c r="K25" s="357"/>
      <c r="L25" s="357"/>
      <c r="M25" s="357"/>
      <c r="N25" s="357"/>
      <c r="O25" s="357"/>
      <c r="U25" s="182"/>
    </row>
    <row r="26" spans="1:21" s="1" customFormat="1" ht="38.25" x14ac:dyDescent="0.2">
      <c r="A26" s="110" t="str">
        <f ca="1">OFFSET(PO!J$12,ROW(A26)-ROW($A$12),0)</f>
        <v>Serviço</v>
      </c>
      <c r="B26" s="112" t="str">
        <f ca="1">IF($A26=0,"",OFFSET(PO!K$12,ROW(B26)-ROW(B$12),0))</f>
        <v>1.2.7.</v>
      </c>
      <c r="C26" s="109" t="str">
        <f ca="1">IF(OFFSET(PO!N$12,ROW(C26)-ROW(C$12),0)=0,"",OFFSET(PO!N$12,ROW(C26)-ROW(C$12),0))</f>
        <v>TRANSPORTE COM CAMINHÃO TANQUE DE TRANSPORTE DE MATERIAL ASFÁLTICO DE 30000 L, EM VIA URBANA PAVIMENTADA, DMT ATÉ 30KM (UNIDADE: TXKM). AF_07/2020</v>
      </c>
      <c r="D26" s="111" t="str">
        <f ca="1">IF(OFFSET(PO!O$12,ROW(D26)-ROW(D$12),0)=0,"",OFFSET(PO!O$12,ROW(D26)-ROW(D$12),0))</f>
        <v>TXKM</v>
      </c>
      <c r="E26" s="140">
        <f ca="1">IF($A26&lt;&gt;"Serviço",0,ROUND(SUMIF($F$9:$P$9,"&lt;&gt;",$F26:$P26),15-13*PO!$X$3))</f>
        <v>522.99</v>
      </c>
      <c r="F26" s="357">
        <v>522.99</v>
      </c>
      <c r="G26" s="357"/>
      <c r="H26" s="357"/>
      <c r="I26" s="357"/>
      <c r="J26" s="357"/>
      <c r="K26" s="357"/>
      <c r="L26" s="357"/>
      <c r="M26" s="357"/>
      <c r="N26" s="357"/>
      <c r="O26" s="357"/>
      <c r="U26" s="182"/>
    </row>
    <row r="27" spans="1:21" s="1" customFormat="1" ht="51" x14ac:dyDescent="0.2">
      <c r="A27" s="110" t="str">
        <f ca="1">OFFSET(PO!J$12,ROW(A27)-ROW($A$12),0)</f>
        <v>Serviço</v>
      </c>
      <c r="B27" s="112" t="str">
        <f ca="1">IF($A27=0,"",OFFSET(PO!K$12,ROW(B27)-ROW(B$12),0))</f>
        <v>1.2.8.</v>
      </c>
      <c r="C27" s="109" t="str">
        <f ca="1">IF(OFFSET(PO!N$12,ROW(C27)-ROW(C$12),0)=0,"",OFFSET(PO!N$12,ROW(C27)-ROW(C$12),0))</f>
        <v>TRANSPORTE COM CAMINHÃO TANQUE DE TRANSPORTE DE MATERIAL ASFÁLTICO DE 30000 L, EM VIA URBANA PAVIMENTADA, ADICIONAL PARA DMT EXCEDENTE A 30 KM (UNIDADE: TXKM). AF_07/2020</v>
      </c>
      <c r="D27" s="111" t="str">
        <f ca="1">IF(OFFSET(PO!O$12,ROW(D27)-ROW(D$12),0)=0,"",OFFSET(PO!O$12,ROW(D27)-ROW(D$12),0))</f>
        <v>TXKM</v>
      </c>
      <c r="E27" s="140">
        <f ca="1">IF($A27&lt;&gt;"Serviço",0,ROUND(SUMIF($F$9:$P$9,"&lt;&gt;",$F27:$P27),15-13*PO!$X$3))</f>
        <v>7862.29</v>
      </c>
      <c r="F27" s="357">
        <v>7862.29</v>
      </c>
      <c r="G27" s="357"/>
      <c r="H27" s="357"/>
      <c r="I27" s="357"/>
      <c r="J27" s="357"/>
      <c r="K27" s="357"/>
      <c r="L27" s="357"/>
      <c r="M27" s="357"/>
      <c r="N27" s="357"/>
      <c r="O27" s="357"/>
      <c r="U27" s="182"/>
    </row>
    <row r="28" spans="1:21" s="1" customFormat="1" x14ac:dyDescent="0.2">
      <c r="A28" s="110" t="str">
        <f ca="1">OFFSET(PO!J$12,ROW(A28)-ROW($A$12),0)</f>
        <v>Meta</v>
      </c>
      <c r="B28" s="112" t="str">
        <f ca="1">IF($A28=0,"",OFFSET(PO!K$12,ROW(B28)-ROW(B$12),0))</f>
        <v>2.</v>
      </c>
      <c r="C28" s="109" t="str">
        <f ca="1">IF(OFFSET(PO!N$12,ROW(C28)-ROW(C$12),0)=0,"",OFFSET(PO!N$12,ROW(C28)-ROW(C$12),0))</f>
        <v>SINALIZAÇÃO</v>
      </c>
      <c r="D28" s="111" t="str">
        <f ca="1">IF(OFFSET(PO!O$12,ROW(D28)-ROW(D$12),0)=0,"",OFFSET(PO!O$12,ROW(D28)-ROW(D$12),0))</f>
        <v/>
      </c>
      <c r="E28" s="140">
        <f ca="1">IF($A28&lt;&gt;"Serviço",0,ROUND(SUMIF($F$9:$P$9,"&lt;&gt;",$F28:$P28),15-13*PO!$X$3))</f>
        <v>0</v>
      </c>
      <c r="F28" s="357"/>
      <c r="G28" s="357"/>
      <c r="H28" s="357"/>
      <c r="I28" s="357"/>
      <c r="J28" s="357"/>
      <c r="K28" s="357"/>
      <c r="L28" s="357"/>
      <c r="M28" s="357"/>
      <c r="N28" s="357"/>
      <c r="O28" s="357"/>
      <c r="U28" s="182"/>
    </row>
    <row r="29" spans="1:21" s="1" customFormat="1" ht="25.5" x14ac:dyDescent="0.2">
      <c r="A29" s="110" t="str">
        <f ca="1">OFFSET(PO!J$12,ROW(A29)-ROW($A$12),0)</f>
        <v>Serviço</v>
      </c>
      <c r="B29" s="112" t="str">
        <f ca="1">IF($A29=0,"",OFFSET(PO!K$12,ROW(B29)-ROW(B$12),0))</f>
        <v>2.0.1.</v>
      </c>
      <c r="C29" s="109" t="str">
        <f ca="1">IF(OFFSET(PO!N$12,ROW(C29)-ROW(C$12),0)=0,"",OFFSET(PO!N$12,ROW(C29)-ROW(C$12),0))</f>
        <v>PLACA DE SINALIZACAO EM CHAPA DE ACO NUM 16 COM PINTURA REFLETIVA R-1 "PARE"</v>
      </c>
      <c r="D29" s="111" t="str">
        <f ca="1">IF(OFFSET(PO!O$12,ROW(D29)-ROW(D$12),0)=0,"",OFFSET(PO!O$12,ROW(D29)-ROW(D$12),0))</f>
        <v>UN</v>
      </c>
      <c r="E29" s="140">
        <f ca="1">IF($A29&lt;&gt;"Serviço",0,ROUND(SUMIF($F$9:$P$9,"&lt;&gt;",$F29:$P29),15-13*PO!$X$3))</f>
        <v>2</v>
      </c>
      <c r="F29" s="357">
        <v>2</v>
      </c>
      <c r="G29" s="357"/>
      <c r="H29" s="357"/>
      <c r="I29" s="357"/>
      <c r="J29" s="357"/>
      <c r="K29" s="357"/>
      <c r="L29" s="357"/>
      <c r="M29" s="357"/>
      <c r="N29" s="357"/>
      <c r="O29" s="357"/>
      <c r="U29" s="182"/>
    </row>
    <row r="30" spans="1:21" s="1" customFormat="1" ht="25.5" x14ac:dyDescent="0.2">
      <c r="A30" s="110" t="str">
        <f ca="1">OFFSET(PO!J$12,ROW(A30)-ROW($A$12),0)</f>
        <v>Serviço</v>
      </c>
      <c r="B30" s="112" t="str">
        <f ca="1">IF($A30=0,"",OFFSET(PO!K$12,ROW(B30)-ROW(B$12),0))</f>
        <v>2.0.2.</v>
      </c>
      <c r="C30" s="109" t="str">
        <f ca="1">IF(OFFSET(PO!N$12,ROW(C30)-ROW(C$12),0)=0,"",OFFSET(PO!N$12,ROW(C30)-ROW(C$12),0))</f>
        <v>PLACA DE SINALIZACAO EM CHAPA DE ACO NUM 16 COM PINTURA REFLETIVA A - 32b "PEDESTRE"</v>
      </c>
      <c r="D30" s="111" t="str">
        <f ca="1">IF(OFFSET(PO!O$12,ROW(D30)-ROW(D$12),0)=0,"",OFFSET(PO!O$12,ROW(D30)-ROW(D$12),0))</f>
        <v>UN</v>
      </c>
      <c r="E30" s="140">
        <f ca="1">IF($A30&lt;&gt;"Serviço",0,ROUND(SUMIF($F$9:$P$9,"&lt;&gt;",$F30:$P30),15-13*PO!$X$3))</f>
        <v>4</v>
      </c>
      <c r="F30" s="357">
        <v>4</v>
      </c>
      <c r="G30" s="357"/>
      <c r="H30" s="357"/>
      <c r="I30" s="357"/>
      <c r="J30" s="357"/>
      <c r="K30" s="357"/>
      <c r="L30" s="357"/>
      <c r="M30" s="357"/>
      <c r="N30" s="357"/>
      <c r="O30" s="357"/>
      <c r="U30" s="182"/>
    </row>
    <row r="31" spans="1:21" s="1" customFormat="1" ht="25.5" x14ac:dyDescent="0.2">
      <c r="A31" s="110" t="str">
        <f ca="1">OFFSET(PO!J$12,ROW(A31)-ROW($A$12),0)</f>
        <v>Serviço</v>
      </c>
      <c r="B31" s="112" t="str">
        <f ca="1">IF($A31=0,"",OFFSET(PO!K$12,ROW(B31)-ROW(B$12),0))</f>
        <v>2.0.3.</v>
      </c>
      <c r="C31" s="109" t="str">
        <f ca="1">IF(OFFSET(PO!N$12,ROW(C31)-ROW(C$12),0)=0,"",OFFSET(PO!N$12,ROW(C31)-ROW(C$12),0))</f>
        <v>PINTURA DE MEIO-FIO COM TINTA BRANCA A BASE DE CAL (CAIAÇÃO). AF_05/2021</v>
      </c>
      <c r="D31" s="111" t="str">
        <f ca="1">IF(OFFSET(PO!O$12,ROW(D31)-ROW(D$12),0)=0,"",OFFSET(PO!O$12,ROW(D31)-ROW(D$12),0))</f>
        <v>M</v>
      </c>
      <c r="E31" s="140">
        <f ca="1">IF($A31&lt;&gt;"Serviço",0,ROUND(SUMIF($F$9:$P$9,"&lt;&gt;",$F31:$P31),15-13*PO!$X$3))</f>
        <v>396.88</v>
      </c>
      <c r="F31" s="357">
        <v>396.88</v>
      </c>
      <c r="G31" s="357"/>
      <c r="H31" s="357"/>
      <c r="I31" s="357"/>
      <c r="J31" s="357"/>
      <c r="K31" s="357"/>
      <c r="L31" s="357"/>
      <c r="M31" s="357"/>
      <c r="N31" s="357"/>
      <c r="O31" s="357"/>
      <c r="U31" s="182"/>
    </row>
    <row r="32" spans="1:21" s="1" customFormat="1" ht="51" x14ac:dyDescent="0.2">
      <c r="A32" s="110" t="str">
        <f ca="1">OFFSET(PO!J$12,ROW(A32)-ROW($A$12),0)</f>
        <v>Serviço</v>
      </c>
      <c r="B32" s="112" t="str">
        <f ca="1">IF($A32=0,"",OFFSET(PO!K$12,ROW(B32)-ROW(B$12),0))</f>
        <v>2.0.4.</v>
      </c>
      <c r="C32" s="109" t="str">
        <f ca="1">IF(OFFSET(PO!N$12,ROW(C32)-ROW(C$12),0)=0,"",OFFSET(PO!N$12,ROW(C32)-ROW(C$12),0))</f>
        <v>PINTURA DE EIXO VIÁRIO SOBRE ASFALTO COM TINTA RETRORREFLETIVA A BASE DE RESINA ACRÍLICA COM MICROESFERAS DE VIDRO, E = 10 CM, APLICAÇÃO MECÂNICA COM DEMARCADORA AUTOPROPELIDA. AF_05/2021</v>
      </c>
      <c r="D32" s="111" t="str">
        <f ca="1">IF(OFFSET(PO!O$12,ROW(D32)-ROW(D$12),0)=0,"",OFFSET(PO!O$12,ROW(D32)-ROW(D$12),0))</f>
        <v>M</v>
      </c>
      <c r="E32" s="140">
        <f ca="1">IF($A32&lt;&gt;"Serviço",0,ROUND(SUMIF($F$9:$P$9,"&lt;&gt;",$F32:$P32),15-13*PO!$X$3))</f>
        <v>210</v>
      </c>
      <c r="F32" s="357">
        <v>210</v>
      </c>
      <c r="G32" s="357"/>
      <c r="H32" s="357"/>
      <c r="I32" s="357"/>
      <c r="J32" s="357"/>
      <c r="K32" s="357"/>
      <c r="L32" s="357"/>
      <c r="M32" s="357"/>
      <c r="N32" s="357"/>
      <c r="O32" s="357"/>
      <c r="U32" s="182"/>
    </row>
    <row r="33" spans="1:21" s="1" customFormat="1" ht="25.5" x14ac:dyDescent="0.2">
      <c r="A33" s="110" t="str">
        <f ca="1">OFFSET(PO!J$12,ROW(A33)-ROW($A$12),0)</f>
        <v>Serviço</v>
      </c>
      <c r="B33" s="112" t="str">
        <f ca="1">IF($A33=0,"",OFFSET(PO!K$12,ROW(B33)-ROW(B$12),0))</f>
        <v>2.0.5.</v>
      </c>
      <c r="C33" s="109" t="str">
        <f ca="1">IF(OFFSET(PO!N$12,ROW(C33)-ROW(C$12),0)=0,"",OFFSET(PO!N$12,ROW(C33)-ROW(C$12),0))</f>
        <v>PINTURA DE FAIXA DE PEDESTRE OU ZEBRADA COM TINTA ACRÍLICA, E = 30 CM, APLICAÇÃO MANUAL. AF_05/2021</v>
      </c>
      <c r="D33" s="111" t="str">
        <f ca="1">IF(OFFSET(PO!O$12,ROW(D33)-ROW(D$12),0)=0,"",OFFSET(PO!O$12,ROW(D33)-ROW(D$12),0))</f>
        <v>M2</v>
      </c>
      <c r="E33" s="140">
        <f ca="1">IF($A33&lt;&gt;"Serviço",0,ROUND(SUMIF($F$9:$P$9,"&lt;&gt;",$F33:$P33),15-13*PO!$X$3))</f>
        <v>65.599999999999994</v>
      </c>
      <c r="F33" s="357">
        <v>65.599999999999994</v>
      </c>
      <c r="G33" s="357"/>
      <c r="H33" s="357"/>
      <c r="I33" s="357"/>
      <c r="J33" s="357"/>
      <c r="K33" s="357"/>
      <c r="L33" s="357"/>
      <c r="M33" s="357"/>
      <c r="N33" s="357"/>
      <c r="O33" s="357"/>
      <c r="U33" s="182"/>
    </row>
    <row r="34" spans="1:21" s="1" customFormat="1" x14ac:dyDescent="0.2">
      <c r="A34" s="110" t="str">
        <f ca="1">OFFSET(PO!J$12,ROW(A34)-ROW($A$12),0)</f>
        <v>Meta</v>
      </c>
      <c r="B34" s="112" t="str">
        <f ca="1">IF($A34=0,"",OFFSET(PO!K$12,ROW(B34)-ROW(B$12),0))</f>
        <v>3.</v>
      </c>
      <c r="C34" s="109" t="str">
        <f ca="1">IF(OFFSET(PO!N$12,ROW(C34)-ROW(C$12),0)=0,"",OFFSET(PO!N$12,ROW(C34)-ROW(C$12),0))</f>
        <v>DRENAGEM</v>
      </c>
      <c r="D34" s="111" t="str">
        <f ca="1">IF(OFFSET(PO!O$12,ROW(D34)-ROW(D$12),0)=0,"",OFFSET(PO!O$12,ROW(D34)-ROW(D$12),0))</f>
        <v>M</v>
      </c>
      <c r="E34" s="140">
        <f ca="1">IF($A34&lt;&gt;"Serviço",0,ROUND(SUMIF($F$9:$P$9,"&lt;&gt;",$F34:$P34),15-13*PO!$X$3))</f>
        <v>0</v>
      </c>
      <c r="F34" s="357">
        <v>1794</v>
      </c>
      <c r="G34" s="357"/>
      <c r="H34" s="357"/>
      <c r="I34" s="357"/>
      <c r="J34" s="357"/>
      <c r="K34" s="357"/>
      <c r="L34" s="357"/>
      <c r="M34" s="357"/>
      <c r="N34" s="357"/>
      <c r="O34" s="357"/>
      <c r="U34" s="182"/>
    </row>
    <row r="35" spans="1:21" s="1" customFormat="1" x14ac:dyDescent="0.2">
      <c r="A35" s="110" t="str">
        <f ca="1">OFFSET(PO!J$12,ROW(A35)-ROW($A$12),0)</f>
        <v>Serviço</v>
      </c>
      <c r="B35" s="112" t="str">
        <f ca="1">IF($A35=0,"",OFFSET(PO!K$12,ROW(B35)-ROW(B$12),0))</f>
        <v>3.0.1.</v>
      </c>
      <c r="C35" s="109" t="str">
        <f ca="1">IF(OFFSET(PO!N$12,ROW(C35)-ROW(C$12),0)=0,"",OFFSET(PO!N$12,ROW(C35)-ROW(C$12),0))</f>
        <v>SARJETA DE CONCRETO USINADO, 30CM BASE X 6CM ALTURA</v>
      </c>
      <c r="D35" s="111" t="str">
        <f ca="1">IF(OFFSET(PO!O$12,ROW(D35)-ROW(D$12),0)=0,"",OFFSET(PO!O$12,ROW(D35)-ROW(D$12),0))</f>
        <v>M</v>
      </c>
      <c r="E35" s="140">
        <f ca="1">IF($A35&lt;&gt;"Serviço",0,ROUND(SUMIF($F$9:$P$9,"&lt;&gt;",$F35:$P35),15-13*PO!$X$3))</f>
        <v>396.88</v>
      </c>
      <c r="F35" s="357">
        <v>396.88</v>
      </c>
      <c r="G35" s="357"/>
      <c r="H35" s="357"/>
      <c r="I35" s="357"/>
      <c r="J35" s="357"/>
      <c r="K35" s="357"/>
      <c r="L35" s="357"/>
      <c r="M35" s="357"/>
      <c r="N35" s="357"/>
      <c r="O35" s="357"/>
      <c r="U35" s="182"/>
    </row>
    <row r="36" spans="1:21" s="1" customFormat="1" x14ac:dyDescent="0.2">
      <c r="A36" s="110" t="str">
        <f ca="1">OFFSET(PO!J$12,ROW(A36)-ROW($A$12),0)</f>
        <v>Meta</v>
      </c>
      <c r="B36" s="112" t="str">
        <f ca="1">IF($A36=0,"",OFFSET(PO!K$12,ROW(B36)-ROW(B$12),0))</f>
        <v>4.</v>
      </c>
      <c r="C36" s="109" t="str">
        <f ca="1">IF(OFFSET(PO!N$12,ROW(C36)-ROW(C$12),0)=0,"",OFFSET(PO!N$12,ROW(C36)-ROW(C$12),0))</f>
        <v>ADMINISTRAÇÃO LOCAL</v>
      </c>
      <c r="D36" s="111" t="str">
        <f ca="1">IF(OFFSET(PO!O$12,ROW(D36)-ROW(D$12),0)=0,"",OFFSET(PO!O$12,ROW(D36)-ROW(D$12),0))</f>
        <v/>
      </c>
      <c r="E36" s="140">
        <f ca="1">IF($A36&lt;&gt;"Serviço",0,ROUND(SUMIF($F$9:$P$9,"&lt;&gt;",$F36:$P36),15-13*PO!$X$3))</f>
        <v>0</v>
      </c>
      <c r="F36" s="357"/>
      <c r="G36" s="357"/>
      <c r="H36" s="357"/>
      <c r="I36" s="357"/>
      <c r="J36" s="357"/>
      <c r="K36" s="357"/>
      <c r="L36" s="357"/>
      <c r="M36" s="357"/>
      <c r="N36" s="357"/>
      <c r="O36" s="357"/>
      <c r="U36" s="182"/>
    </row>
    <row r="37" spans="1:21" s="1" customFormat="1" x14ac:dyDescent="0.2">
      <c r="A37" s="110" t="str">
        <f ca="1">OFFSET(PO!J$12,ROW(A37)-ROW($A$12),0)</f>
        <v>Serviço</v>
      </c>
      <c r="B37" s="112" t="str">
        <f ca="1">IF($A37=0,"",OFFSET(PO!K$12,ROW(B37)-ROW(B$12),0))</f>
        <v>4.0.1.</v>
      </c>
      <c r="C37" s="109" t="str">
        <f ca="1">IF(OFFSET(PO!N$12,ROW(C37)-ROW(C$12),0)=0,"",OFFSET(PO!N$12,ROW(C37)-ROW(C$12),0))</f>
        <v>ADMINISTRAÇÃO LOCAL</v>
      </c>
      <c r="D37" s="111" t="str">
        <f ca="1">IF(OFFSET(PO!O$12,ROW(D37)-ROW(D$12),0)=0,"",OFFSET(PO!O$12,ROW(D37)-ROW(D$12),0))</f>
        <v>UN</v>
      </c>
      <c r="E37" s="140">
        <f ca="1">IF($A37&lt;&gt;"Serviço",0,ROUND(SUMIF($F$9:$P$9,"&lt;&gt;",$F37:$P37),15-13*PO!$X$3))</f>
        <v>1</v>
      </c>
      <c r="F37" s="357">
        <v>1</v>
      </c>
      <c r="G37" s="357"/>
      <c r="H37" s="357"/>
      <c r="I37" s="357"/>
      <c r="J37" s="357"/>
      <c r="K37" s="357"/>
      <c r="L37" s="357"/>
      <c r="M37" s="357"/>
      <c r="N37" s="357"/>
      <c r="O37" s="357"/>
      <c r="U37" s="182"/>
    </row>
    <row r="38" spans="1:21" s="1" customFormat="1" x14ac:dyDescent="0.2">
      <c r="A38" s="110" t="str">
        <f ca="1">OFFSET(PO!J$12,ROW(A38)-ROW($A$12),0)</f>
        <v>Meta</v>
      </c>
      <c r="B38" s="112" t="str">
        <f ca="1">IF($A38=0,"",OFFSET(PO!K$12,ROW(B38)-ROW(B$12),0))</f>
        <v>5.</v>
      </c>
      <c r="C38" s="109" t="str">
        <f ca="1">IF(OFFSET(PO!N$12,ROW(C38)-ROW(C$12),0)=0,"",OFFSET(PO!N$12,ROW(C38)-ROW(C$12),0))</f>
        <v>SERVIÇOS FINAIS</v>
      </c>
      <c r="D38" s="111" t="str">
        <f ca="1">IF(OFFSET(PO!O$12,ROW(D38)-ROW(D$12),0)=0,"",OFFSET(PO!O$12,ROW(D38)-ROW(D$12),0))</f>
        <v/>
      </c>
      <c r="E38" s="140">
        <f ca="1">IF($A38&lt;&gt;"Serviço",0,ROUND(SUMIF($F$9:$P$9,"&lt;&gt;",$F38:$P38),15-13*PO!$X$3))</f>
        <v>0</v>
      </c>
      <c r="F38" s="357"/>
      <c r="G38" s="357"/>
      <c r="H38" s="357"/>
      <c r="I38" s="357"/>
      <c r="J38" s="357"/>
      <c r="K38" s="357"/>
      <c r="L38" s="357"/>
      <c r="M38" s="357"/>
      <c r="N38" s="357"/>
      <c r="O38" s="357"/>
      <c r="U38" s="182"/>
    </row>
    <row r="39" spans="1:21" s="1" customFormat="1" x14ac:dyDescent="0.2">
      <c r="A39" s="110" t="str">
        <f ca="1">OFFSET(PO!J$12,ROW(A39)-ROW($A$12),0)</f>
        <v>Serviço</v>
      </c>
      <c r="B39" s="112" t="str">
        <f ca="1">IF($A39=0,"",OFFSET(PO!K$12,ROW(B39)-ROW(B$12),0))</f>
        <v>5.0.1.</v>
      </c>
      <c r="C39" s="109" t="str">
        <f ca="1">IF(OFFSET(PO!N$12,ROW(C39)-ROW(C$12),0)=0,"",OFFSET(PO!N$12,ROW(C39)-ROW(C$12),0))</f>
        <v>MOBILIZAÇÃO/DESMOBILIZAÇÃO DE EQUIPAMENTOS</v>
      </c>
      <c r="D39" s="111" t="str">
        <f ca="1">IF(OFFSET(PO!O$12,ROW(D39)-ROW(D$12),0)=0,"",OFFSET(PO!O$12,ROW(D39)-ROW(D$12),0))</f>
        <v>UN</v>
      </c>
      <c r="E39" s="140">
        <f ca="1">IF($A39&lt;&gt;"Serviço",0,ROUND(SUMIF($F$9:$P$9,"&lt;&gt;",$F39:$P39),15-13*PO!$X$3))</f>
        <v>1</v>
      </c>
      <c r="F39" s="357">
        <v>1</v>
      </c>
      <c r="G39" s="357"/>
      <c r="H39" s="357"/>
      <c r="I39" s="357"/>
      <c r="J39" s="357"/>
      <c r="K39" s="357"/>
      <c r="L39" s="357"/>
      <c r="M39" s="357"/>
      <c r="N39" s="357"/>
      <c r="O39" s="357"/>
      <c r="U39" s="182"/>
    </row>
    <row r="40" spans="1:21" s="1" customFormat="1" x14ac:dyDescent="0.2">
      <c r="A40" s="69"/>
      <c r="B40" s="69"/>
      <c r="C40" s="69"/>
      <c r="D40" s="69"/>
      <c r="E40" s="69"/>
      <c r="F40" s="69"/>
      <c r="G40" s="69"/>
      <c r="H40" s="69"/>
      <c r="I40" s="69"/>
      <c r="J40" s="69"/>
      <c r="K40" s="69"/>
      <c r="L40" s="69"/>
      <c r="M40" s="69"/>
      <c r="N40" s="69"/>
      <c r="O40" s="69"/>
      <c r="U40" s="69"/>
    </row>
    <row r="41" spans="1:21" s="1" customFormat="1" x14ac:dyDescent="0.2">
      <c r="B41" s="4"/>
      <c r="C41" s="10"/>
      <c r="D41" s="4"/>
      <c r="E41" s="12"/>
      <c r="F41" s="12"/>
      <c r="G41" s="12"/>
      <c r="H41" s="12"/>
      <c r="I41" s="12"/>
      <c r="J41" s="12"/>
      <c r="K41" s="12"/>
      <c r="L41" s="12"/>
      <c r="M41" s="12"/>
      <c r="N41" s="12"/>
      <c r="O41" s="12"/>
      <c r="U41" s="12"/>
    </row>
    <row r="42" spans="1:21" s="1" customFormat="1" x14ac:dyDescent="0.2">
      <c r="B42" s="329" t="str">
        <f>PO!$K$51</f>
        <v>TUCUNDUVA RS</v>
      </c>
      <c r="C42" s="329"/>
      <c r="D42" s="4"/>
      <c r="E42" s="12"/>
      <c r="F42" s="12"/>
      <c r="G42" s="12"/>
      <c r="H42" s="12"/>
      <c r="I42" s="12"/>
      <c r="J42" s="12"/>
      <c r="K42" s="12"/>
      <c r="L42" s="12"/>
      <c r="M42" s="12"/>
      <c r="N42" s="12"/>
      <c r="O42" s="12"/>
      <c r="U42" s="12"/>
    </row>
    <row r="43" spans="1:21" s="1" customFormat="1" x14ac:dyDescent="0.2">
      <c r="B43" s="98" t="s">
        <v>120</v>
      </c>
      <c r="C43" s="10"/>
      <c r="D43" s="4"/>
      <c r="E43" s="12"/>
      <c r="F43" s="12"/>
      <c r="G43" s="12"/>
      <c r="H43" s="12"/>
      <c r="I43" s="12"/>
      <c r="J43" s="12"/>
      <c r="K43" s="12"/>
      <c r="L43" s="12"/>
      <c r="M43" s="12"/>
      <c r="N43" s="12"/>
      <c r="O43" s="12"/>
      <c r="U43" s="12"/>
    </row>
    <row r="44" spans="1:21" s="1" customFormat="1" x14ac:dyDescent="0.2">
      <c r="B44" s="10"/>
      <c r="C44" s="10"/>
      <c r="D44" s="4"/>
      <c r="E44" s="12"/>
      <c r="F44" s="12"/>
      <c r="G44" s="12"/>
      <c r="H44" s="12"/>
      <c r="I44" s="12"/>
      <c r="J44" s="12"/>
      <c r="K44" s="12"/>
      <c r="L44" s="12"/>
      <c r="M44" s="12"/>
      <c r="N44" s="12"/>
      <c r="O44" s="12"/>
      <c r="U44" s="12"/>
    </row>
    <row r="45" spans="1:21" s="1" customFormat="1" x14ac:dyDescent="0.2">
      <c r="B45" s="330">
        <f ca="1">PO!$K$54</f>
        <v>46084</v>
      </c>
      <c r="C45" s="330"/>
      <c r="D45" s="4"/>
      <c r="E45" s="12"/>
      <c r="F45" s="12"/>
      <c r="G45" s="12"/>
      <c r="H45" s="12"/>
      <c r="I45" s="12"/>
      <c r="J45" s="12"/>
      <c r="K45" s="12"/>
      <c r="L45" s="12"/>
      <c r="M45" s="12"/>
      <c r="N45" s="12"/>
      <c r="O45" s="12"/>
      <c r="U45" s="12"/>
    </row>
    <row r="46" spans="1:21" s="1" customFormat="1" x14ac:dyDescent="0.2">
      <c r="B46" s="120" t="s">
        <v>121</v>
      </c>
      <c r="C46" s="121"/>
      <c r="D46" s="4"/>
      <c r="E46" s="12"/>
      <c r="F46" s="12"/>
      <c r="G46" s="12"/>
      <c r="H46" s="12"/>
      <c r="I46" s="12"/>
      <c r="J46" s="12"/>
      <c r="K46" s="12"/>
      <c r="L46" s="12"/>
      <c r="M46" s="12"/>
      <c r="N46" s="12"/>
      <c r="O46" s="12"/>
      <c r="U46" s="12"/>
    </row>
  </sheetData>
  <sheetProtection algorithmName="SHA-512" hashValue="QQR05/oR7vdU0RW0U9MbG8kCqaS6Fi/skH/5Q1MAYp3mtBVTIBam0VXXyAGizGsrjYKgHQj2eoSzflm4Za8R5w==" saltValue="tSCrXN3tV4LdZVGhE2IF5Q==" spinCount="100000" sheet="1" objects="1" scenarios="1"/>
  <mergeCells count="2">
    <mergeCell ref="B42:C42"/>
    <mergeCell ref="B45:C45"/>
  </mergeCells>
  <phoneticPr fontId="26" type="noConversion"/>
  <conditionalFormatting sqref="D11:E11 D13:E14 D16:E18 D23:E30 D36:E39">
    <cfRule type="expression" dxfId="229" priority="1354" stopIfTrue="1">
      <formula>$A11="Meta"</formula>
    </cfRule>
    <cfRule type="expression" dxfId="228" priority="1355" stopIfTrue="1">
      <formula>$A11&lt;&gt;"Serviço"</formula>
    </cfRule>
  </conditionalFormatting>
  <conditionalFormatting sqref="C11 C13:C14 C16:C18 C22:C39">
    <cfRule type="expression" dxfId="227" priority="1356" stopIfTrue="1">
      <formula>$A11="Meta"</formula>
    </cfRule>
    <cfRule type="expression" dxfId="226" priority="1357" stopIfTrue="1">
      <formula>$A11&lt;&gt;"Serviço"</formula>
    </cfRule>
  </conditionalFormatting>
  <conditionalFormatting sqref="A11:B11 A13:B14 A16:B18 A23:B30 A36:B39">
    <cfRule type="expression" dxfId="225" priority="1358" stopIfTrue="1">
      <formula>$A11="Meta"</formula>
    </cfRule>
    <cfRule type="expression" dxfId="224" priority="1359" stopIfTrue="1">
      <formula>LEFT($A11,5)="Nível"</formula>
    </cfRule>
    <cfRule type="expression" dxfId="223" priority="1360" stopIfTrue="1">
      <formula>$A11=0</formula>
    </cfRule>
  </conditionalFormatting>
  <conditionalFormatting sqref="U11 U13:U14 F13:O14 F16:O16 F19:O19 F21:O21 F23:O23 F28:O29 F34:O34 F31:O32 U16:U39 F36:O39">
    <cfRule type="expression" dxfId="222" priority="1370" stopIfTrue="1">
      <formula>$A11="Meta"</formula>
    </cfRule>
    <cfRule type="expression" dxfId="221" priority="1371" stopIfTrue="1">
      <formula>OR(F$9=0,$A11&lt;&gt;"Serviço")</formula>
    </cfRule>
    <cfRule type="expression" dxfId="220" priority="1372" stopIfTrue="1">
      <formula>TipoOrçamento="Licitado"</formula>
    </cfRule>
  </conditionalFormatting>
  <conditionalFormatting sqref="U9">
    <cfRule type="expression" dxfId="219" priority="792" stopIfTrue="1">
      <formula>AND(T9=0,U9=0)</formula>
    </cfRule>
    <cfRule type="expression" dxfId="218" priority="793" stopIfTrue="1">
      <formula>TipoOrçamento="Licitado"</formula>
    </cfRule>
  </conditionalFormatting>
  <conditionalFormatting sqref="F11:O11">
    <cfRule type="expression" dxfId="217" priority="752" stopIfTrue="1">
      <formula>$A11="Meta"</formula>
    </cfRule>
    <cfRule type="expression" dxfId="216" priority="753" stopIfTrue="1">
      <formula>OR(F$9=0,$A11&lt;&gt;"Serviço")</formula>
    </cfRule>
    <cfRule type="expression" dxfId="215" priority="754" stopIfTrue="1">
      <formula>TipoOrçamento="Licitado"</formula>
    </cfRule>
  </conditionalFormatting>
  <conditionalFormatting sqref="F9:O9">
    <cfRule type="expression" dxfId="214" priority="750" stopIfTrue="1">
      <formula>AND(E9=0,F9=0)</formula>
    </cfRule>
    <cfRule type="expression" dxfId="213" priority="751" stopIfTrue="1">
      <formula>TipoOrçamento="Licitado"</formula>
    </cfRule>
  </conditionalFormatting>
  <conditionalFormatting sqref="D19:E19 D21:E21">
    <cfRule type="expression" dxfId="212" priority="551" stopIfTrue="1">
      <formula>$A19="Meta"</formula>
    </cfRule>
    <cfRule type="expression" dxfId="211" priority="552" stopIfTrue="1">
      <formula>$A19&lt;&gt;"Serviço"</formula>
    </cfRule>
  </conditionalFormatting>
  <conditionalFormatting sqref="C19 C21">
    <cfRule type="expression" dxfId="210" priority="553" stopIfTrue="1">
      <formula>$A19="Meta"</formula>
    </cfRule>
    <cfRule type="expression" dxfId="209" priority="554" stopIfTrue="1">
      <formula>$A19&lt;&gt;"Serviço"</formula>
    </cfRule>
  </conditionalFormatting>
  <conditionalFormatting sqref="A19:B19 A21:B21">
    <cfRule type="expression" dxfId="208" priority="555" stopIfTrue="1">
      <formula>$A19="Meta"</formula>
    </cfRule>
    <cfRule type="expression" dxfId="207" priority="556" stopIfTrue="1">
      <formula>LEFT($A19,5)="Nível"</formula>
    </cfRule>
    <cfRule type="expression" dxfId="206" priority="557" stopIfTrue="1">
      <formula>$A19=0</formula>
    </cfRule>
  </conditionalFormatting>
  <conditionalFormatting sqref="D15:E15">
    <cfRule type="expression" dxfId="205" priority="382" stopIfTrue="1">
      <formula>$A15="Meta"</formula>
    </cfRule>
    <cfRule type="expression" dxfId="204" priority="383" stopIfTrue="1">
      <formula>$A15&lt;&gt;"Serviço"</formula>
    </cfRule>
  </conditionalFormatting>
  <conditionalFormatting sqref="C15">
    <cfRule type="expression" dxfId="203" priority="384" stopIfTrue="1">
      <formula>$A15="Meta"</formula>
    </cfRule>
    <cfRule type="expression" dxfId="202" priority="385" stopIfTrue="1">
      <formula>$A15&lt;&gt;"Serviço"</formula>
    </cfRule>
  </conditionalFormatting>
  <conditionalFormatting sqref="A15:B15">
    <cfRule type="expression" dxfId="201" priority="386" stopIfTrue="1">
      <formula>$A15="Meta"</formula>
    </cfRule>
    <cfRule type="expression" dxfId="200" priority="387" stopIfTrue="1">
      <formula>LEFT($A15,5)="Nível"</formula>
    </cfRule>
    <cfRule type="expression" dxfId="199" priority="388" stopIfTrue="1">
      <formula>$A15=0</formula>
    </cfRule>
  </conditionalFormatting>
  <conditionalFormatting sqref="U15">
    <cfRule type="expression" dxfId="198" priority="389" stopIfTrue="1">
      <formula>$A15="Meta"</formula>
    </cfRule>
    <cfRule type="expression" dxfId="197" priority="390" stopIfTrue="1">
      <formula>OR(U$9=0,$A15&lt;&gt;"Serviço")</formula>
    </cfRule>
    <cfRule type="expression" dxfId="196" priority="391" stopIfTrue="1">
      <formula>TipoOrçamento="Licitado"</formula>
    </cfRule>
  </conditionalFormatting>
  <conditionalFormatting sqref="F15:O15">
    <cfRule type="expression" dxfId="195" priority="379" stopIfTrue="1">
      <formula>$A15="Meta"</formula>
    </cfRule>
    <cfRule type="expression" dxfId="194" priority="380" stopIfTrue="1">
      <formula>OR(F$9=0,$A15&lt;&gt;"Serviço")</formula>
    </cfRule>
    <cfRule type="expression" dxfId="193" priority="381" stopIfTrue="1">
      <formula>TipoOrçamento="Licitado"</formula>
    </cfRule>
  </conditionalFormatting>
  <conditionalFormatting sqref="D21:E21">
    <cfRule type="expression" dxfId="192" priority="357" stopIfTrue="1">
      <formula>$A21="Meta"</formula>
    </cfRule>
    <cfRule type="expression" dxfId="191" priority="358" stopIfTrue="1">
      <formula>$A21&lt;&gt;"Serviço"</formula>
    </cfRule>
  </conditionalFormatting>
  <conditionalFormatting sqref="C21">
    <cfRule type="expression" dxfId="190" priority="355" stopIfTrue="1">
      <formula>$A21="Meta"</formula>
    </cfRule>
    <cfRule type="expression" dxfId="189" priority="356" stopIfTrue="1">
      <formula>$A21&lt;&gt;"Serviço"</formula>
    </cfRule>
  </conditionalFormatting>
  <conditionalFormatting sqref="A21:B21">
    <cfRule type="expression" dxfId="188" priority="352" stopIfTrue="1">
      <formula>$A21="Meta"</formula>
    </cfRule>
    <cfRule type="expression" dxfId="187" priority="353" stopIfTrue="1">
      <formula>LEFT($A21,5)="Nível"</formula>
    </cfRule>
    <cfRule type="expression" dxfId="186" priority="354" stopIfTrue="1">
      <formula>$A21=0</formula>
    </cfRule>
  </conditionalFormatting>
  <conditionalFormatting sqref="F17:O17">
    <cfRule type="expression" dxfId="185" priority="307" stopIfTrue="1">
      <formula>$A17="Meta"</formula>
    </cfRule>
    <cfRule type="expression" dxfId="184" priority="308" stopIfTrue="1">
      <formula>OR(F$9=0,$A17&lt;&gt;"Serviço")</formula>
    </cfRule>
    <cfRule type="expression" dxfId="183" priority="309" stopIfTrue="1">
      <formula>TipoOrçamento="Licitado"</formula>
    </cfRule>
  </conditionalFormatting>
  <conditionalFormatting sqref="D20:E20">
    <cfRule type="expression" dxfId="182" priority="300" stopIfTrue="1">
      <formula>$A20="Meta"</formula>
    </cfRule>
    <cfRule type="expression" dxfId="181" priority="301" stopIfTrue="1">
      <formula>$A20&lt;&gt;"Serviço"</formula>
    </cfRule>
  </conditionalFormatting>
  <conditionalFormatting sqref="C20">
    <cfRule type="expression" dxfId="180" priority="302" stopIfTrue="1">
      <formula>$A20="Meta"</formula>
    </cfRule>
    <cfRule type="expression" dxfId="179" priority="303" stopIfTrue="1">
      <formula>$A20&lt;&gt;"Serviço"</formula>
    </cfRule>
  </conditionalFormatting>
  <conditionalFormatting sqref="A20:B20">
    <cfRule type="expression" dxfId="178" priority="304" stopIfTrue="1">
      <formula>$A20="Meta"</formula>
    </cfRule>
    <cfRule type="expression" dxfId="177" priority="305" stopIfTrue="1">
      <formula>LEFT($A20,5)="Nível"</formula>
    </cfRule>
    <cfRule type="expression" dxfId="176" priority="306" stopIfTrue="1">
      <formula>$A20=0</formula>
    </cfRule>
  </conditionalFormatting>
  <conditionalFormatting sqref="F20:O20">
    <cfRule type="expression" dxfId="175" priority="297" stopIfTrue="1">
      <formula>$A20="Meta"</formula>
    </cfRule>
    <cfRule type="expression" dxfId="174" priority="298" stopIfTrue="1">
      <formula>OR(F$9=0,$A20&lt;&gt;"Serviço")</formula>
    </cfRule>
    <cfRule type="expression" dxfId="173" priority="299" stopIfTrue="1">
      <formula>TipoOrçamento="Licitado"</formula>
    </cfRule>
  </conditionalFormatting>
  <conditionalFormatting sqref="D22:E22">
    <cfRule type="expression" dxfId="172" priority="292" stopIfTrue="1">
      <formula>$A22="Meta"</formula>
    </cfRule>
    <cfRule type="expression" dxfId="171" priority="293" stopIfTrue="1">
      <formula>$A22&lt;&gt;"Serviço"</formula>
    </cfRule>
  </conditionalFormatting>
  <conditionalFormatting sqref="A22:B22">
    <cfRule type="expression" dxfId="170" priority="294" stopIfTrue="1">
      <formula>$A22="Meta"</formula>
    </cfRule>
    <cfRule type="expression" dxfId="169" priority="295" stopIfTrue="1">
      <formula>LEFT($A22,5)="Nível"</formula>
    </cfRule>
    <cfRule type="expression" dxfId="168" priority="296" stopIfTrue="1">
      <formula>$A22=0</formula>
    </cfRule>
  </conditionalFormatting>
  <conditionalFormatting sqref="F22:O22">
    <cfRule type="expression" dxfId="167" priority="289" stopIfTrue="1">
      <formula>$A22="Meta"</formula>
    </cfRule>
    <cfRule type="expression" dxfId="166" priority="290" stopIfTrue="1">
      <formula>OR(F$9=0,$A22&lt;&gt;"Serviço")</formula>
    </cfRule>
    <cfRule type="expression" dxfId="165" priority="291" stopIfTrue="1">
      <formula>TipoOrçamento="Licitado"</formula>
    </cfRule>
  </conditionalFormatting>
  <conditionalFormatting sqref="D31:E31">
    <cfRule type="expression" dxfId="164" priority="107" stopIfTrue="1">
      <formula>$A31="Meta"</formula>
    </cfRule>
    <cfRule type="expression" dxfId="163" priority="108" stopIfTrue="1">
      <formula>$A31&lt;&gt;"Serviço"</formula>
    </cfRule>
  </conditionalFormatting>
  <conditionalFormatting sqref="A31:B31">
    <cfRule type="expression" dxfId="162" priority="109" stopIfTrue="1">
      <formula>$A31="Meta"</formula>
    </cfRule>
    <cfRule type="expression" dxfId="161" priority="110" stopIfTrue="1">
      <formula>LEFT($A31,5)="Nível"</formula>
    </cfRule>
    <cfRule type="expression" dxfId="160" priority="111" stopIfTrue="1">
      <formula>$A31=0</formula>
    </cfRule>
  </conditionalFormatting>
  <conditionalFormatting sqref="D32:E32">
    <cfRule type="expression" dxfId="159" priority="99" stopIfTrue="1">
      <formula>$A32="Meta"</formula>
    </cfRule>
    <cfRule type="expression" dxfId="158" priority="100" stopIfTrue="1">
      <formula>$A32&lt;&gt;"Serviço"</formula>
    </cfRule>
  </conditionalFormatting>
  <conditionalFormatting sqref="A32:B32">
    <cfRule type="expression" dxfId="157" priority="101" stopIfTrue="1">
      <formula>$A32="Meta"</formula>
    </cfRule>
    <cfRule type="expression" dxfId="156" priority="102" stopIfTrue="1">
      <formula>LEFT($A32,5)="Nível"</formula>
    </cfRule>
    <cfRule type="expression" dxfId="155" priority="103" stopIfTrue="1">
      <formula>$A32=0</formula>
    </cfRule>
  </conditionalFormatting>
  <conditionalFormatting sqref="D34:E34">
    <cfRule type="expression" dxfId="154" priority="91" stopIfTrue="1">
      <formula>$A34="Meta"</formula>
    </cfRule>
    <cfRule type="expression" dxfId="153" priority="92" stopIfTrue="1">
      <formula>$A34&lt;&gt;"Serviço"</formula>
    </cfRule>
  </conditionalFormatting>
  <conditionalFormatting sqref="A34:B34">
    <cfRule type="expression" dxfId="152" priority="93" stopIfTrue="1">
      <formula>$A34="Meta"</formula>
    </cfRule>
    <cfRule type="expression" dxfId="151" priority="94" stopIfTrue="1">
      <formula>LEFT($A34,5)="Nível"</formula>
    </cfRule>
    <cfRule type="expression" dxfId="150" priority="95" stopIfTrue="1">
      <formula>$A34=0</formula>
    </cfRule>
  </conditionalFormatting>
  <conditionalFormatting sqref="F24:O24">
    <cfRule type="expression" dxfId="149" priority="69" stopIfTrue="1">
      <formula>$A24="Meta"</formula>
    </cfRule>
    <cfRule type="expression" dxfId="148" priority="70" stopIfTrue="1">
      <formula>OR(F$9=0,$A24&lt;&gt;"Serviço")</formula>
    </cfRule>
    <cfRule type="expression" dxfId="147" priority="71" stopIfTrue="1">
      <formula>TipoOrçamento="Licitado"</formula>
    </cfRule>
  </conditionalFormatting>
  <conditionalFormatting sqref="D35:E35">
    <cfRule type="expression" dxfId="146" priority="32" stopIfTrue="1">
      <formula>$A35="Meta"</formula>
    </cfRule>
    <cfRule type="expression" dxfId="145" priority="33" stopIfTrue="1">
      <formula>$A35&lt;&gt;"Serviço"</formula>
    </cfRule>
  </conditionalFormatting>
  <conditionalFormatting sqref="A35:B35">
    <cfRule type="expression" dxfId="144" priority="34" stopIfTrue="1">
      <formula>$A35="Meta"</formula>
    </cfRule>
    <cfRule type="expression" dxfId="143" priority="35" stopIfTrue="1">
      <formula>LEFT($A35,5)="Nível"</formula>
    </cfRule>
    <cfRule type="expression" dxfId="142" priority="36" stopIfTrue="1">
      <formula>$A35=0</formula>
    </cfRule>
  </conditionalFormatting>
  <conditionalFormatting sqref="F35:O35">
    <cfRule type="expression" dxfId="141" priority="29" stopIfTrue="1">
      <formula>$A35="Meta"</formula>
    </cfRule>
    <cfRule type="expression" dxfId="140" priority="30" stopIfTrue="1">
      <formula>OR(F$9=0,$A35&lt;&gt;"Serviço")</formula>
    </cfRule>
    <cfRule type="expression" dxfId="139" priority="31" stopIfTrue="1">
      <formula>TipoOrçamento="Licitado"</formula>
    </cfRule>
  </conditionalFormatting>
  <conditionalFormatting sqref="F18:O18">
    <cfRule type="expression" dxfId="138" priority="26" stopIfTrue="1">
      <formula>$A18="Meta"</formula>
    </cfRule>
    <cfRule type="expression" dxfId="137" priority="27" stopIfTrue="1">
      <formula>OR(F$9=0,$A18&lt;&gt;"Serviço")</formula>
    </cfRule>
    <cfRule type="expression" dxfId="136" priority="28" stopIfTrue="1">
      <formula>TipoOrçamento="Licitado"</formula>
    </cfRule>
  </conditionalFormatting>
  <conditionalFormatting sqref="F25:O25">
    <cfRule type="expression" dxfId="135" priority="23" stopIfTrue="1">
      <formula>$A25="Meta"</formula>
    </cfRule>
    <cfRule type="expression" dxfId="134" priority="24" stopIfTrue="1">
      <formula>OR(F$9=0,$A25&lt;&gt;"Serviço")</formula>
    </cfRule>
    <cfRule type="expression" dxfId="133" priority="25" stopIfTrue="1">
      <formula>TipoOrçamento="Licitado"</formula>
    </cfRule>
  </conditionalFormatting>
  <conditionalFormatting sqref="F26:O27">
    <cfRule type="expression" dxfId="132" priority="20" stopIfTrue="1">
      <formula>$A26="Meta"</formula>
    </cfRule>
    <cfRule type="expression" dxfId="131" priority="21" stopIfTrue="1">
      <formula>OR(F$9=0,$A26&lt;&gt;"Serviço")</formula>
    </cfRule>
    <cfRule type="expression" dxfId="130" priority="22" stopIfTrue="1">
      <formula>TipoOrçamento="Licitado"</formula>
    </cfRule>
  </conditionalFormatting>
  <conditionalFormatting sqref="D33:E33">
    <cfRule type="expression" dxfId="129" priority="15" stopIfTrue="1">
      <formula>$A33="Meta"</formula>
    </cfRule>
    <cfRule type="expression" dxfId="128" priority="16" stopIfTrue="1">
      <formula>$A33&lt;&gt;"Serviço"</formula>
    </cfRule>
  </conditionalFormatting>
  <conditionalFormatting sqref="A33:B33">
    <cfRule type="expression" dxfId="127" priority="17" stopIfTrue="1">
      <formula>$A33="Meta"</formula>
    </cfRule>
    <cfRule type="expression" dxfId="126" priority="18" stopIfTrue="1">
      <formula>LEFT($A33,5)="Nível"</formula>
    </cfRule>
    <cfRule type="expression" dxfId="125" priority="19" stopIfTrue="1">
      <formula>$A33=0</formula>
    </cfRule>
  </conditionalFormatting>
  <conditionalFormatting sqref="F33:O33">
    <cfRule type="expression" dxfId="124" priority="12" stopIfTrue="1">
      <formula>$A33="Meta"</formula>
    </cfRule>
    <cfRule type="expression" dxfId="123" priority="13" stopIfTrue="1">
      <formula>OR(F$9=0,$A33&lt;&gt;"Serviço")</formula>
    </cfRule>
    <cfRule type="expression" dxfId="122" priority="14" stopIfTrue="1">
      <formula>TipoOrçamento="Licitado"</formula>
    </cfRule>
  </conditionalFormatting>
  <conditionalFormatting sqref="F30:O30">
    <cfRule type="expression" dxfId="121" priority="9" stopIfTrue="1">
      <formula>$A30="Meta"</formula>
    </cfRule>
    <cfRule type="expression" dxfId="120" priority="10" stopIfTrue="1">
      <formula>OR(F$9=0,$A30&lt;&gt;"Serviço")</formula>
    </cfRule>
    <cfRule type="expression" dxfId="119" priority="11"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39 F14:O39"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5 B42"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49"/>
  <sheetViews>
    <sheetView showGridLines="0" topLeftCell="L7" zoomScaleNormal="100" zoomScaleSheetLayoutView="100" workbookViewId="0">
      <selection activeCell="P26" sqref="P26"/>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5" t="str">
        <f ca="1">IF(MAX($A$14:$A$40)&lt;&gt;MAX(PO!$V$12:$V$40),"ERRO: CRONOGRAMA DESATUALIZADO",IF(OR(COUNTIF($O$16:$X$16,"&gt;1")&gt;0,OFFSET($X$17,0,-1)&lt;&gt;$N$14),"ERRO: CRONOGRAMA NÃO FECHA EM 100%",""))</f>
        <v>ERRO: CRONOGRAMA NÃO FECHA EM 100%</v>
      </c>
      <c r="M8" s="335"/>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01/01/25</v>
      </c>
      <c r="P10" s="186" t="str">
        <f ca="1">IF(AND(TipoOrçamento="REPROGRAMADOAC",$N$9&gt;0,N10="Valores Totais (R$)"),"Parcela "&amp;$N$9&amp;" Executado","Parcela "&amp;P$9&amp;CHAR(10)&amp;TEXT(DATE(YEAR(DADOS!$A$48),MONTH(DADOS!$A$48)+P$9-IF(AND(TipoOrçamento="REPROGRAMADOAC",$N$9&gt;0),$N$9,0),1),"mmm/aa"))</f>
        <v>Parcela 1
fev/25</v>
      </c>
      <c r="Q10" s="177" t="str">
        <f ca="1">IF(AND(TipoOrçamento="REPROGRAMADOAC",$N$9&gt;0,O10="Valores Totais (R$)"),"Parcela "&amp;$N$9&amp;" Executado","Parcela "&amp;Q$9&amp;CHAR(10)&amp;TEXT(DATE(YEAR(DADOS!$A$48),MONTH(DADOS!$A$48)+Q$9-IF(AND(TipoOrçamento="REPROGRAMADOAC",$N$9&gt;0),$N$9,0),1),"mmm/aa"))</f>
        <v>Parcela 2
mar/25</v>
      </c>
      <c r="R10" s="177" t="str">
        <f ca="1">IF(AND(TipoOrçamento="REPROGRAMADOAC",$N$9&gt;0,P10="Valores Totais (R$)"),"Parcela "&amp;$N$9&amp;" Executado","Parcela "&amp;R$9&amp;CHAR(10)&amp;TEXT(DATE(YEAR(DADOS!$A$48),MONTH(DADOS!$A$48)+R$9-IF(AND(TipoOrçamento="REPROGRAMADOAC",$N$9&gt;0),$N$9,0),1),"mmm/aa"))</f>
        <v>Parcela 3
abr/25</v>
      </c>
      <c r="S10" s="177" t="str">
        <f ca="1">IF(AND(TipoOrçamento="REPROGRAMADOAC",$N$9&gt;0,Q10="Valores Totais (R$)"),"Parcela "&amp;$N$9&amp;" Executado","Parcela "&amp;S$9&amp;CHAR(10)&amp;TEXT(DATE(YEAR(DADOS!$A$48),MONTH(DADOS!$A$48)+S$9-IF(AND(TipoOrçamento="REPROGRAMADOAC",$N$9&gt;0),$N$9,0),1),"mmm/aa"))</f>
        <v>Parcela 4
mai/25</v>
      </c>
      <c r="T10" s="177" t="str">
        <f ca="1">IF(AND(TipoOrçamento="REPROGRAMADOAC",$N$9&gt;0,R10="Valores Totais (R$)"),"Parcela "&amp;$N$9&amp;" Executado","Parcela "&amp;T$9&amp;CHAR(10)&amp;TEXT(DATE(YEAR(DADOS!$A$48),MONTH(DADOS!$A$48)+T$9-IF(AND(TipoOrçamento="REPROGRAMADOAC",$N$9&gt;0),$N$9,0),1),"mmm/aa"))</f>
        <v>Parcela 5
jun/25</v>
      </c>
      <c r="U10" s="177" t="str">
        <f ca="1">IF(AND(TipoOrçamento="REPROGRAMADOAC",$N$9&gt;0,S10="Valores Totais (R$)"),"Parcela "&amp;$N$9&amp;" Executado","Parcela "&amp;U$9&amp;CHAR(10)&amp;TEXT(DATE(YEAR(DADOS!$A$48),MONTH(DADOS!$A$48)+U$9-IF(AND(TipoOrçamento="REPROGRAMADOAC",$N$9&gt;0),$N$9,0),1),"mmm/aa"))</f>
        <v>Parcela 6
jul/25</v>
      </c>
      <c r="V10" s="177" t="str">
        <f ca="1">IF(AND(TipoOrçamento="REPROGRAMADOAC",$N$9&gt;0,T10="Valores Totais (R$)"),"Parcela "&amp;$N$9&amp;" Executado","Parcela "&amp;V$9&amp;CHAR(10)&amp;TEXT(DATE(YEAR(DADOS!$A$48),MONTH(DADOS!$A$48)+V$9-IF(AND(TipoOrçamento="REPROGRAMADOAC",$N$9&gt;0),$N$9,0),1),"mmm/aa"))</f>
        <v>Parcela 7
ago/25</v>
      </c>
      <c r="W10" s="189" t="str">
        <f ca="1">IF(AND(TipoOrçamento="REPROGRAMADOAC",$N$9&gt;0,U10="Valores Totais (R$)"),"Parcela "&amp;$N$9&amp;" Executado","Parcela "&amp;W$9&amp;CHAR(10)&amp;TEXT(DATE(YEAR(DADOS!$A$48),MONTH(DADOS!$A$48)+W$9-IF(AND(TipoOrçamento="REPROGRAMADOAC",$N$9&gt;0),$N$9,0),1),"mmm/aa"))</f>
        <v>Parcela 8
set/25</v>
      </c>
      <c r="X10" s="162"/>
      <c r="AC10" s="177" t="str">
        <f ca="1">IF(AND(TipoOrçamento="REPROGRAMADOAC",$N$9&gt;0,AA10="Valores Totais (R$)"),"Parcela "&amp;$N$9&amp;" Executado","Parcela "&amp;AC$9&amp;CHAR(10)&amp;TEXT(DATE(YEAR(DADOS!$A$48),MONTH(DADOS!$A$48)+AC$9-IF(AND(TipoOrçamento="REPROGRAMADOAC",$N$9&gt;0),$N$9,0),1),"mmm/aa"))</f>
        <v>Parcela 1
fev/25</v>
      </c>
    </row>
    <row r="11" spans="1:29" customFormat="1" ht="14.25" hidden="1" customHeight="1" x14ac:dyDescent="0.2">
      <c r="A11" s="1"/>
      <c r="B11" s="1"/>
      <c r="C11" s="1"/>
      <c r="D11" s="1"/>
      <c r="E11" s="1"/>
      <c r="F11" s="1"/>
      <c r="G11" s="1"/>
      <c r="H11" s="1"/>
      <c r="I11" s="1"/>
      <c r="J11" s="1"/>
      <c r="K11" s="1"/>
      <c r="L11" s="336" t="e">
        <f ca="1">INDEX(PO!K$12:K$40,MATCH($A13,PO!$V$12:$V$40,0))</f>
        <v>#VALUE!</v>
      </c>
      <c r="M11" s="331" t="e">
        <f ca="1">INDEX(PO!N$12:N$40,MATCH($A13,PO!$V$12:$V$40,0))</f>
        <v>#VALUE!</v>
      </c>
      <c r="N11" s="333" t="e">
        <f ca="1">IF(ROUND(K13,2)=0,K13,ROUND(K13,2))</f>
        <v>#VALUE!</v>
      </c>
      <c r="O11" s="187" t="s">
        <v>143</v>
      </c>
      <c r="P11" s="193" t="e">
        <f ca="1">IF($B13,0,P12-IF(ISNUMBER(O12),O12,0))</f>
        <v>#VALUE!</v>
      </c>
      <c r="Q11" s="194" t="e">
        <f t="shared" ref="Q11:W11" ca="1" si="1">IF($B13,0,Q12-IF(ISNUMBER(P12),P12,0))</f>
        <v>#VALUE!</v>
      </c>
      <c r="R11" s="194" t="e">
        <f t="shared" ca="1" si="1"/>
        <v>#VALUE!</v>
      </c>
      <c r="S11" s="194" t="e">
        <f t="shared" ca="1" si="1"/>
        <v>#VALUE!</v>
      </c>
      <c r="T11" s="194" t="e">
        <f t="shared" ca="1" si="1"/>
        <v>#VALUE!</v>
      </c>
      <c r="U11" s="194" t="e">
        <f t="shared" ca="1" si="1"/>
        <v>#VALUE!</v>
      </c>
      <c r="V11" s="194" t="e">
        <f t="shared" ca="1" si="1"/>
        <v>#VALUE!</v>
      </c>
      <c r="W11" s="195"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7"/>
      <c r="M12" s="332"/>
      <c r="N12" s="334"/>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INDEX(PO!A$12:A$40,MATCH($A13,PO!$V$12:$V$40,0))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MATCH(0,OFFSET($D13,1,$C13,ROW($A$39)-ROW($A13)),0)</f>
        <v>#VALUE!</v>
      </c>
      <c r="J13" s="11" t="e">
        <f ca="1">MATCH(OFFSET($D13,0,$C13)+1,OFFSET($D13,1,$C13,ROW($A$39)-ROW($A13)),0)</f>
        <v>#VALUE!</v>
      </c>
      <c r="K13" s="156" t="e">
        <f ca="1">ROUND(INDEX(PO!T$12:T$40,MATCH($A13,PO!$V$12:$V$40,0)),2)+10^-12</f>
        <v>#VALUE!</v>
      </c>
      <c r="L13" s="337"/>
      <c r="M13" s="332"/>
      <c r="N13" s="334"/>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3" t="s">
        <v>19</v>
      </c>
      <c r="M14" s="344"/>
      <c r="N14" s="349">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5"/>
      <c r="M15" s="346"/>
      <c r="N15" s="350"/>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5"/>
      <c r="M16" s="346"/>
      <c r="N16" s="350"/>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ROW(D$39)-ROW(D18)</f>
        <v>21</v>
      </c>
      <c r="E17"/>
      <c r="F17"/>
      <c r="G17"/>
      <c r="H17"/>
      <c r="I17"/>
      <c r="J17"/>
      <c r="K17"/>
      <c r="L17" s="347"/>
      <c r="M17" s="348"/>
      <c r="N17" s="351"/>
      <c r="O17" s="134" t="s">
        <v>20</v>
      </c>
      <c r="P17" s="169">
        <f ca="1">SUMIF(OFFSET($C17,1,0):$C$39,1,OFFSET(P17,1,0):P$39)</f>
        <v>0</v>
      </c>
      <c r="Q17" s="129">
        <f ca="1">SUMIF(OFFSET($C17,1,0):$C$39,1,OFFSET(Q17,1,0):Q$39)</f>
        <v>0</v>
      </c>
      <c r="R17" s="129">
        <f ca="1">SUMIF(OFFSET($C17,1,0):$C$39,1,OFFSET(R17,1,0):R$39)</f>
        <v>0</v>
      </c>
      <c r="S17" s="129">
        <f ca="1">SUMIF(OFFSET($C17,1,0):$C$39,1,OFFSET(S17,1,0):S$39)</f>
        <v>0</v>
      </c>
      <c r="T17" s="129">
        <f ca="1">SUMIF(OFFSET($C17,1,0):$C$39,1,OFFSET(T17,1,0):T$39)</f>
        <v>0</v>
      </c>
      <c r="U17" s="129">
        <f ca="1">SUMIF(OFFSET($C17,1,0):$C$39,1,OFFSET(U17,1,0):U$39)</f>
        <v>0</v>
      </c>
      <c r="V17" s="129">
        <f ca="1">SUMIF(OFFSET($C17,1,0):$C$39,1,OFFSET(V17,1,0):V$39)</f>
        <v>0</v>
      </c>
      <c r="W17" s="129">
        <f ca="1">SUMIF(OFFSET($C17,1,0):$C$39,1,OFFSET(W17,1,0):W$39)</f>
        <v>0</v>
      </c>
      <c r="X17" s="146"/>
      <c r="AC17" s="129">
        <f ca="1">SUMIF(OFFSET($C17,1,0):$C$39,1,OFFSET(AC17,1,0):AC$39)</f>
        <v>0</v>
      </c>
    </row>
    <row r="18" spans="1:29" customFormat="1" ht="14.25" customHeight="1" x14ac:dyDescent="0.2">
      <c r="L18" s="336" t="str">
        <f ca="1">INDEX(PO!K$12:K$40,MATCH($A20,PO!$V$12:$V$40,0))</f>
        <v>1.</v>
      </c>
      <c r="M18" s="331" t="str">
        <f ca="1">INDEX(PO!N$12:N$40,MATCH($A20,PO!$V$12:$V$40,0))</f>
        <v>PAVIMENTAÇÃO</v>
      </c>
      <c r="N18" s="333">
        <f ca="1">IF(ROUND(K20,2)=0,K20,ROUND(K20,2))</f>
        <v>9.9999999999999998E-13</v>
      </c>
      <c r="O18" s="170" t="s">
        <v>143</v>
      </c>
      <c r="P18" s="193">
        <v>0</v>
      </c>
      <c r="Q18" s="194">
        <v>1</v>
      </c>
      <c r="R18" s="194">
        <f t="shared" ref="R18:W18" ca="1" si="7">IF($B20,0,R19-IF(ISNUMBER(Q19),Q19,0))</f>
        <v>0</v>
      </c>
      <c r="S18" s="194">
        <f t="shared" ca="1" si="7"/>
        <v>0</v>
      </c>
      <c r="T18" s="194">
        <f t="shared" ca="1" si="7"/>
        <v>0</v>
      </c>
      <c r="U18" s="194">
        <f t="shared" ca="1" si="7"/>
        <v>0</v>
      </c>
      <c r="V18" s="194">
        <f t="shared" ca="1" si="7"/>
        <v>0</v>
      </c>
      <c r="W18" s="195">
        <f t="shared" ca="1" si="7"/>
        <v>0</v>
      </c>
      <c r="X18" s="164" t="s">
        <v>106</v>
      </c>
      <c r="AC18" s="188">
        <f ca="1">IF($B20,0,AC19-IF(ISNUMBER(AB19),AB19,0))</f>
        <v>0</v>
      </c>
    </row>
    <row r="19" spans="1:29" customFormat="1" ht="14.25" x14ac:dyDescent="0.2">
      <c r="L19" s="337"/>
      <c r="M19" s="332"/>
      <c r="N19" s="334"/>
      <c r="O19" s="145" t="s">
        <v>145</v>
      </c>
      <c r="P19" s="165">
        <f t="shared" ref="P19:W19" ca="1" si="8">MIN(IF($B20,P18+IF(ISNUMBER(O19),O19,0),P20/$N18),1)</f>
        <v>0</v>
      </c>
      <c r="Q19" s="143">
        <f t="shared" ca="1" si="8"/>
        <v>0</v>
      </c>
      <c r="R19" s="143">
        <f t="shared" ca="1" si="8"/>
        <v>0</v>
      </c>
      <c r="S19" s="143">
        <f t="shared" ca="1" si="8"/>
        <v>0</v>
      </c>
      <c r="T19" s="143">
        <f t="shared" ca="1" si="8"/>
        <v>0</v>
      </c>
      <c r="U19" s="143">
        <f t="shared" ca="1" si="8"/>
        <v>0</v>
      </c>
      <c r="V19" s="143">
        <f t="shared" ca="1" si="8"/>
        <v>0</v>
      </c>
      <c r="W19" s="143">
        <f t="shared" ca="1" si="8"/>
        <v>0</v>
      </c>
      <c r="X19" s="163"/>
      <c r="AC19" s="143">
        <f ca="1">MIN(IF($B20,AC18+IF(ISNUMBER(AB19),AB19,0),AC20/$N18),1)</f>
        <v>0</v>
      </c>
    </row>
    <row r="20" spans="1:29" customFormat="1" ht="14.25" x14ac:dyDescent="0.2">
      <c r="A20" s="19">
        <f ca="1">OFFSET(A20,-CFF.NumLinha,0)+1</f>
        <v>1</v>
      </c>
      <c r="B20" t="b">
        <f ca="1">$C20&gt;=OFFSET($C20,CFF.NumLinha,0)</f>
        <v>0</v>
      </c>
      <c r="C20" s="11">
        <f ca="1">INDEX(PO!A$12:A$40,MATCH($A20,PO!$V$12:$V$40,0))</f>
        <v>1</v>
      </c>
      <c r="D20" s="11">
        <f ca="1">IF(ISERROR(J20),I20,SMALL(I20:J20,1))-1</f>
        <v>8</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MATCH(0,OFFSET($D20,1,$C20,ROW($A$39)-ROW($A20)),0)</f>
        <v>19</v>
      </c>
      <c r="J20" s="11">
        <f ca="1">MATCH(OFFSET($D20,0,$C20)+1,OFFSET($D20,1,$C20,ROW($A$39)-ROW($A20)),0)</f>
        <v>9</v>
      </c>
      <c r="K20" s="156">
        <f ca="1">ROUND(INDEX(PO!T$12:T$40,MATCH($A20,PO!$V$12:$V$40,0)),2)+10^-12</f>
        <v>9.9999999999999998E-13</v>
      </c>
      <c r="L20" s="337"/>
      <c r="M20" s="332"/>
      <c r="N20" s="334"/>
      <c r="O20" s="171" t="s">
        <v>20</v>
      </c>
      <c r="P20" s="166">
        <f t="shared" ref="P20:W20" ca="1" si="9">IF($B20,ROUND(P19*$N18,2),ROUND(SUMIF(OFFSET($B20,1,0,$D20),TRUE,OFFSET(P20,1,0,$D20))/SUMIF(OFFSET($B20,1,0,$D20),TRUE,OFFSET($K20,1,0,$D20))*$N18,2))</f>
        <v>0</v>
      </c>
      <c r="Q20" s="144">
        <f t="shared" ca="1" si="9"/>
        <v>0</v>
      </c>
      <c r="R20" s="144">
        <f t="shared" ca="1" si="9"/>
        <v>0</v>
      </c>
      <c r="S20" s="144">
        <f t="shared" ca="1" si="9"/>
        <v>0</v>
      </c>
      <c r="T20" s="144">
        <f t="shared" ca="1" si="9"/>
        <v>0</v>
      </c>
      <c r="U20" s="144">
        <f t="shared" ca="1" si="9"/>
        <v>0</v>
      </c>
      <c r="V20" s="144">
        <f t="shared" ca="1" si="9"/>
        <v>0</v>
      </c>
      <c r="W20" s="174">
        <f t="shared" ca="1" si="9"/>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6" t="str">
        <f ca="1">INDEX(PO!K$12:K$40,MATCH($A23,PO!$V$12:$V$40,0))</f>
        <v>1.1.</v>
      </c>
      <c r="M21" s="331" t="str">
        <f ca="1">INDEX(PO!N$12:N$40,MATCH($A23,PO!$V$12:$V$40,0))</f>
        <v>SERVIÇOS INICIAIS</v>
      </c>
      <c r="N21" s="333">
        <f t="shared" ref="N21" ca="1" si="10">IF(ROUND(K23,2)=0,K23,ROUND(K23,2))</f>
        <v>9.9999999999999998E-13</v>
      </c>
      <c r="O21" s="187" t="s">
        <v>143</v>
      </c>
      <c r="P21" s="193">
        <v>1</v>
      </c>
      <c r="Q21" s="194">
        <v>0.5</v>
      </c>
      <c r="R21" s="194">
        <f t="shared" ref="R21" ca="1" si="11">IF($B23,0,R22-IF(ISNUMBER(Q22),Q22,0))</f>
        <v>0</v>
      </c>
      <c r="S21" s="194">
        <f t="shared" ref="S21" ca="1" si="12">IF($B23,0,S22-IF(ISNUMBER(R22),R22,0))</f>
        <v>0</v>
      </c>
      <c r="T21" s="194">
        <f t="shared" ref="T21" ca="1" si="13">IF($B23,0,T22-IF(ISNUMBER(S22),S22,0))</f>
        <v>0</v>
      </c>
      <c r="U21" s="194">
        <f t="shared" ref="U21" ca="1" si="14">IF($B23,0,U22-IF(ISNUMBER(T22),T22,0))</f>
        <v>0</v>
      </c>
      <c r="V21" s="194">
        <f t="shared" ref="V21" ca="1" si="15">IF($B23,0,V22-IF(ISNUMBER(U22),U22,0))</f>
        <v>0</v>
      </c>
      <c r="W21" s="195">
        <f t="shared" ref="W21" ca="1" si="16">IF($B23,0,W22-IF(ISNUMBER(V22),V22,0))</f>
        <v>0</v>
      </c>
      <c r="X21" s="163"/>
      <c r="AC21" s="188">
        <f t="shared" ref="AC21" ca="1" si="17">IF($B23,0,AC22-IF(ISNUMBER(AB22),AB22,0))</f>
        <v>0</v>
      </c>
    </row>
    <row r="22" spans="1:29" customFormat="1" ht="14.25" x14ac:dyDescent="0.2">
      <c r="A22" s="11"/>
      <c r="B22" s="11"/>
      <c r="C22" s="11"/>
      <c r="D22" s="11"/>
      <c r="E22" s="11"/>
      <c r="F22" s="11"/>
      <c r="G22" s="11"/>
      <c r="H22" s="11"/>
      <c r="I22" s="11"/>
      <c r="J22" s="11"/>
      <c r="K22" s="11"/>
      <c r="L22" s="337"/>
      <c r="M22" s="332"/>
      <c r="N22" s="334"/>
      <c r="O22" s="145" t="s">
        <v>145</v>
      </c>
      <c r="P22" s="165">
        <f t="shared" ref="P22" ca="1" si="18">MIN(IF($B23,P21+IF(ISNUMBER(O22),O22,0),P23/$N21),1)</f>
        <v>1</v>
      </c>
      <c r="Q22" s="143">
        <f t="shared" ref="Q22" ca="1" si="19">MIN(IF($B23,Q21+IF(ISNUMBER(P22),P22,0),Q23/$N21),1)</f>
        <v>1</v>
      </c>
      <c r="R22" s="143">
        <f t="shared" ref="R22" ca="1" si="20">MIN(IF($B23,R21+IF(ISNUMBER(Q22),Q22,0),R23/$N21),1)</f>
        <v>1</v>
      </c>
      <c r="S22" s="143">
        <f t="shared" ref="S22" ca="1" si="21">MIN(IF($B23,S21+IF(ISNUMBER(R22),R22,0),S23/$N21),1)</f>
        <v>1</v>
      </c>
      <c r="T22" s="143">
        <f t="shared" ref="T22" ca="1" si="22">MIN(IF($B23,T21+IF(ISNUMBER(S22),S22,0),T23/$N21),1)</f>
        <v>1</v>
      </c>
      <c r="U22" s="143">
        <f t="shared" ref="U22" ca="1" si="23">MIN(IF($B23,U21+IF(ISNUMBER(T22),T22,0),U23/$N21),1)</f>
        <v>1</v>
      </c>
      <c r="V22" s="143">
        <f t="shared" ref="V22" ca="1" si="24">MIN(IF($B23,V21+IF(ISNUMBER(U22),U22,0),V23/$N21),1)</f>
        <v>1</v>
      </c>
      <c r="W22" s="143">
        <f t="shared" ref="W22" ca="1" si="25">MIN(IF($B23,W21+IF(ISNUMBER(V22),V22,0),W23/$N21),1)</f>
        <v>1</v>
      </c>
      <c r="X22" s="163"/>
      <c r="AC22" s="143">
        <f t="shared" ref="AC22" ca="1" si="26">MIN(IF($B23,AC21+IF(ISNUMBER(AB22),AB22,0),AC23/$N21),1)</f>
        <v>0</v>
      </c>
    </row>
    <row r="23" spans="1:29" customFormat="1" ht="14.25" x14ac:dyDescent="0.2">
      <c r="A23" s="11">
        <f ca="1">OFFSET(A23,-CFF.NumLinha,0)+1</f>
        <v>2</v>
      </c>
      <c r="B23" s="11" t="b">
        <f ca="1">$C23&gt;=OFFSET($C23,CFF.NumLinha,0)</f>
        <v>1</v>
      </c>
      <c r="C23" s="11">
        <f ca="1">INDEX(PO!A$12:A$40,MATCH($A23,PO!$V$12:$V$40,0))</f>
        <v>2</v>
      </c>
      <c r="D23" s="11">
        <f t="shared" ref="D23" ca="1" si="27">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MATCH(0,OFFSET($D23,1,$C23,ROW($A$39)-ROW($A23)),0)</f>
        <v>6</v>
      </c>
      <c r="J23" s="11">
        <f ca="1">MATCH(OFFSET($D23,0,$C23)+1,OFFSET($D23,1,$C23,ROW($A$39)-ROW($A23)),0)</f>
        <v>3</v>
      </c>
      <c r="K23" s="156">
        <f ca="1">ROUND(INDEX(PO!T$12:T$40,MATCH($A23,PO!$V$12:$V$40,0)),2)+10^-12</f>
        <v>9.9999999999999998E-13</v>
      </c>
      <c r="L23" s="337"/>
      <c r="M23" s="332"/>
      <c r="N23" s="334"/>
      <c r="O23" s="171" t="s">
        <v>20</v>
      </c>
      <c r="P23" s="166">
        <f t="shared" ref="P23:W23" ca="1" si="28">IF($B23,ROUND(P22*$N21,2),ROUND(SUMIF(OFFSET($B23,1,0,$D23),TRUE,OFFSET(P23,1,0,$D23))/SUMIF(OFFSET($B23,1,0,$D23),TRUE,OFFSET($K23,1,0,$D23))*$N21,2))</f>
        <v>0</v>
      </c>
      <c r="Q23" s="144">
        <f t="shared" ca="1" si="28"/>
        <v>0</v>
      </c>
      <c r="R23" s="144">
        <f t="shared" ca="1" si="28"/>
        <v>0</v>
      </c>
      <c r="S23" s="144">
        <f t="shared" ca="1" si="28"/>
        <v>0</v>
      </c>
      <c r="T23" s="144">
        <f t="shared" ca="1" si="28"/>
        <v>0</v>
      </c>
      <c r="U23" s="144">
        <f t="shared" ca="1" si="28"/>
        <v>0</v>
      </c>
      <c r="V23" s="144">
        <f t="shared" ca="1" si="28"/>
        <v>0</v>
      </c>
      <c r="W23" s="174">
        <f t="shared" ca="1" si="28"/>
        <v>0</v>
      </c>
      <c r="X23" s="163"/>
      <c r="AC23" s="144">
        <f t="shared" ref="AC23" ca="1" si="29">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6" t="str">
        <f ca="1">INDEX(PO!K$12:K$40,MATCH($A26,PO!$V$12:$V$40,0))</f>
        <v>1.2.</v>
      </c>
      <c r="M24" s="331" t="str">
        <f ca="1">INDEX(PO!N$12:N$40,MATCH($A26,PO!$V$12:$V$40,0))</f>
        <v>PAVIMENTAÇÃO DA RUA DAS INDUSTRIAS</v>
      </c>
      <c r="N24" s="333">
        <f t="shared" ref="N24" ca="1" si="30">IF(ROUND(K26,2)=0,K26,ROUND(K26,2))</f>
        <v>9.9999999999999998E-13</v>
      </c>
      <c r="O24" s="187" t="s">
        <v>143</v>
      </c>
      <c r="P24" s="193">
        <v>0.5</v>
      </c>
      <c r="Q24" s="194">
        <v>0.5</v>
      </c>
      <c r="R24" s="194">
        <v>0.5</v>
      </c>
      <c r="S24" s="194"/>
      <c r="T24" s="194"/>
      <c r="U24" s="194"/>
      <c r="V24" s="194"/>
      <c r="W24" s="195"/>
      <c r="X24" s="163"/>
      <c r="AC24" s="188">
        <f t="shared" ref="AC24" ca="1" si="31">IF($B26,0,AC25-IF(ISNUMBER(AB25),AB25,0))</f>
        <v>0</v>
      </c>
    </row>
    <row r="25" spans="1:29" customFormat="1" ht="14.25" x14ac:dyDescent="0.2">
      <c r="A25" s="11"/>
      <c r="B25" s="11"/>
      <c r="C25" s="11"/>
      <c r="D25" s="11"/>
      <c r="E25" s="11"/>
      <c r="F25" s="11"/>
      <c r="G25" s="11"/>
      <c r="H25" s="11"/>
      <c r="I25" s="11"/>
      <c r="J25" s="11"/>
      <c r="K25" s="11"/>
      <c r="L25" s="337"/>
      <c r="M25" s="332"/>
      <c r="N25" s="334"/>
      <c r="O25" s="145" t="s">
        <v>145</v>
      </c>
      <c r="P25" s="165">
        <f t="shared" ref="P25" ca="1" si="32">MIN(IF($B26,P24+IF(ISNUMBER(O25),O25,0),P26/$N24),1)</f>
        <v>0.5</v>
      </c>
      <c r="Q25" s="143">
        <f t="shared" ref="Q25" ca="1" si="33">MIN(IF($B26,Q24+IF(ISNUMBER(P25),P25,0),Q26/$N24),1)</f>
        <v>1</v>
      </c>
      <c r="R25" s="143">
        <f t="shared" ref="R25" ca="1" si="34">MIN(IF($B26,R24+IF(ISNUMBER(Q25),Q25,0),R26/$N24),1)</f>
        <v>1</v>
      </c>
      <c r="S25" s="143">
        <f t="shared" ref="S25" ca="1" si="35">MIN(IF($B26,S24+IF(ISNUMBER(R25),R25,0),S26/$N24),1)</f>
        <v>1</v>
      </c>
      <c r="T25" s="143">
        <f t="shared" ref="T25" ca="1" si="36">MIN(IF($B26,T24+IF(ISNUMBER(S25),S25,0),T26/$N24),1)</f>
        <v>1</v>
      </c>
      <c r="U25" s="143">
        <f t="shared" ref="U25" ca="1" si="37">MIN(IF($B26,U24+IF(ISNUMBER(T25),T25,0),U26/$N24),1)</f>
        <v>1</v>
      </c>
      <c r="V25" s="143">
        <f t="shared" ref="V25" ca="1" si="38">MIN(IF($B26,V24+IF(ISNUMBER(U25),U25,0),V26/$N24),1)</f>
        <v>1</v>
      </c>
      <c r="W25" s="143">
        <f t="shared" ref="W25" ca="1" si="39">MIN(IF($B26,W24+IF(ISNUMBER(V25),V25,0),W26/$N24),1)</f>
        <v>1</v>
      </c>
      <c r="X25" s="163"/>
      <c r="AC25" s="143">
        <f t="shared" ref="AC25" ca="1" si="40">MIN(IF($B26,AC24+IF(ISNUMBER(AB25),AB25,0),AC26/$N24),1)</f>
        <v>0</v>
      </c>
    </row>
    <row r="26" spans="1:29" customFormat="1" ht="14.25" x14ac:dyDescent="0.2">
      <c r="A26" s="11">
        <f ca="1">OFFSET(A26,-CFF.NumLinha,0)+1</f>
        <v>3</v>
      </c>
      <c r="B26" s="11" t="b">
        <f ca="1">$C26&gt;=OFFSET($C26,CFF.NumLinha,0)</f>
        <v>1</v>
      </c>
      <c r="C26" s="11">
        <f ca="1">INDEX(PO!A$12:A$40,MATCH($A26,PO!$V$12:$V$40,0))</f>
        <v>2</v>
      </c>
      <c r="D26" s="11">
        <f t="shared" ref="D26" ca="1" si="41">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MATCH(0,OFFSET($D26,1,$C26,ROW($A$39)-ROW($A26)),0)</f>
        <v>3</v>
      </c>
      <c r="J26" s="11" t="e">
        <f ca="1">MATCH(OFFSET($D26,0,$C26)+1,OFFSET($D26,1,$C26,ROW($A$39)-ROW($A26)),0)</f>
        <v>#N/A</v>
      </c>
      <c r="K26" s="156">
        <f ca="1">ROUND(INDEX(PO!T$12:T$40,MATCH($A26,PO!$V$12:$V$40,0)),2)+10^-12</f>
        <v>9.9999999999999998E-13</v>
      </c>
      <c r="L26" s="337"/>
      <c r="M26" s="332"/>
      <c r="N26" s="334"/>
      <c r="O26" s="171" t="s">
        <v>20</v>
      </c>
      <c r="P26" s="166">
        <f t="shared" ref="P26:W26" ca="1" si="42">IF($B26,ROUND(P25*$N24,2),ROUND(SUMIF(OFFSET($B26,1,0,$D26),TRUE,OFFSET(P26,1,0,$D26))/SUMIF(OFFSET($B26,1,0,$D26),TRUE,OFFSET($K26,1,0,$D26))*$N24,2))</f>
        <v>0</v>
      </c>
      <c r="Q26" s="144">
        <f t="shared" ca="1" si="42"/>
        <v>0</v>
      </c>
      <c r="R26" s="144">
        <f t="shared" ca="1" si="42"/>
        <v>0</v>
      </c>
      <c r="S26" s="144">
        <f t="shared" ca="1" si="42"/>
        <v>0</v>
      </c>
      <c r="T26" s="144">
        <f t="shared" ca="1" si="42"/>
        <v>0</v>
      </c>
      <c r="U26" s="144">
        <f t="shared" ca="1" si="42"/>
        <v>0</v>
      </c>
      <c r="V26" s="144">
        <f t="shared" ca="1" si="42"/>
        <v>0</v>
      </c>
      <c r="W26" s="174">
        <f t="shared" ca="1" si="42"/>
        <v>0</v>
      </c>
      <c r="X26" s="163"/>
      <c r="AC26" s="144">
        <f t="shared" ref="AC26" ca="1" si="43">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6" t="str">
        <f ca="1">INDEX(PO!K$12:K$40,MATCH($A29,PO!$V$12:$V$40,0))</f>
        <v>2.</v>
      </c>
      <c r="M27" s="331" t="str">
        <f ca="1">INDEX(PO!N$12:N$40,MATCH($A29,PO!$V$12:$V$40,0))</f>
        <v>SINALIZAÇÃO</v>
      </c>
      <c r="N27" s="333">
        <f ca="1">IF(ROUND(K29,2)=0,K29,ROUND(K29,2))</f>
        <v>9.9999999999999998E-13</v>
      </c>
      <c r="O27" s="187" t="s">
        <v>143</v>
      </c>
      <c r="P27" s="193">
        <v>0</v>
      </c>
      <c r="Q27" s="194">
        <v>1</v>
      </c>
      <c r="R27" s="194">
        <f t="shared" ref="R27" ca="1" si="44">IF($B29,0,R28-IF(ISNUMBER(Q28),Q28,0))</f>
        <v>0</v>
      </c>
      <c r="S27" s="194">
        <f t="shared" ref="S27" ca="1" si="45">IF($B29,0,S28-IF(ISNUMBER(R28),R28,0))</f>
        <v>0</v>
      </c>
      <c r="T27" s="194">
        <f t="shared" ref="T27" ca="1" si="46">IF($B29,0,T28-IF(ISNUMBER(S28),S28,0))</f>
        <v>0</v>
      </c>
      <c r="U27" s="194">
        <f t="shared" ref="U27" ca="1" si="47">IF($B29,0,U28-IF(ISNUMBER(T28),T28,0))</f>
        <v>0</v>
      </c>
      <c r="V27" s="194">
        <f t="shared" ref="V27" ca="1" si="48">IF($B29,0,V28-IF(ISNUMBER(U28),U28,0))</f>
        <v>0</v>
      </c>
      <c r="W27" s="195">
        <f t="shared" ref="W27" ca="1" si="49">IF($B29,0,W28-IF(ISNUMBER(V28),V28,0))</f>
        <v>0</v>
      </c>
      <c r="X27" s="163"/>
      <c r="AC27" s="188">
        <f ca="1">IF($B29,0,AC28-IF(ISNUMBER(AB28),AB28,0))</f>
        <v>0</v>
      </c>
    </row>
    <row r="28" spans="1:29" customFormat="1" ht="14.25" x14ac:dyDescent="0.2">
      <c r="A28" s="11"/>
      <c r="B28" s="11"/>
      <c r="C28" s="11"/>
      <c r="D28" s="11"/>
      <c r="E28" s="11"/>
      <c r="F28" s="11"/>
      <c r="G28" s="11"/>
      <c r="H28" s="11"/>
      <c r="I28" s="11"/>
      <c r="J28" s="11"/>
      <c r="K28" s="11"/>
      <c r="L28" s="337"/>
      <c r="M28" s="332"/>
      <c r="N28" s="334"/>
      <c r="O28" s="145" t="s">
        <v>145</v>
      </c>
      <c r="P28" s="165">
        <f ca="1">MIN(IF($B29,P27+IF(ISNUMBER(O28),O28,0),P29/$N27),1)</f>
        <v>0</v>
      </c>
      <c r="Q28" s="143">
        <f t="shared" ref="Q28" ca="1" si="50">MIN(IF($B29,Q27+IF(ISNUMBER(P28),P28,0),Q29/$N27),1)</f>
        <v>1</v>
      </c>
      <c r="R28" s="143">
        <f t="shared" ref="R28" ca="1" si="51">MIN(IF($B29,R27+IF(ISNUMBER(Q28),Q28,0),R29/$N27),1)</f>
        <v>1</v>
      </c>
      <c r="S28" s="143">
        <f t="shared" ref="S28" ca="1" si="52">MIN(IF($B29,S27+IF(ISNUMBER(R28),R28,0),S29/$N27),1)</f>
        <v>1</v>
      </c>
      <c r="T28" s="143">
        <f t="shared" ref="T28" ca="1" si="53">MIN(IF($B29,T27+IF(ISNUMBER(S28),S28,0),T29/$N27),1)</f>
        <v>1</v>
      </c>
      <c r="U28" s="143">
        <f t="shared" ref="U28" ca="1" si="54">MIN(IF($B29,U27+IF(ISNUMBER(T28),T28,0),U29/$N27),1)</f>
        <v>1</v>
      </c>
      <c r="V28" s="143">
        <f t="shared" ref="V28" ca="1" si="55">MIN(IF($B29,V27+IF(ISNUMBER(U28),U28,0),V29/$N27),1)</f>
        <v>1</v>
      </c>
      <c r="W28" s="143">
        <f t="shared" ref="W28" ca="1" si="56">MIN(IF($B29,W27+IF(ISNUMBER(V28),V28,0),W29/$N27),1)</f>
        <v>1</v>
      </c>
      <c r="X28" s="163"/>
      <c r="AC28" s="143">
        <f ca="1">MIN(IF($B29,AC27+IF(ISNUMBER(AB28),AB28,0),AC29/$N27),1)</f>
        <v>0</v>
      </c>
    </row>
    <row r="29" spans="1:29" customFormat="1" ht="14.25" x14ac:dyDescent="0.2">
      <c r="A29" s="11">
        <f ca="1">OFFSET(A29,-CFF.NumLinha,0)+1</f>
        <v>4</v>
      </c>
      <c r="B29" s="11" t="b">
        <f ca="1">$C29&gt;=OFFSET($C29,CFF.NumLinha,0)</f>
        <v>1</v>
      </c>
      <c r="C29" s="11">
        <f ca="1">INDEX(PO!A$12:A$40,MATCH($A29,PO!$V$12:$V$40,0))</f>
        <v>1</v>
      </c>
      <c r="D29" s="11">
        <f ca="1">IF(ISERROR(J29),I29,SMALL(I29:J29,1))-1</f>
        <v>2</v>
      </c>
      <c r="E29" s="11">
        <f ca="1">IF($C29=1,OFFSET(E29,-CFF.NumLinha,0)+1,OFFSET(E29,-CFF.NumLinha,0))</f>
        <v>2</v>
      </c>
      <c r="F29" s="11">
        <f ca="1">IF($C29=1,0,IF($C29=2,OFFSET(F29,-CFF.NumLinha,0)+1,OFFSET(F29,-CFF.NumLinha,0)))</f>
        <v>0</v>
      </c>
      <c r="G29" s="11">
        <f ca="1">IF(AND($C29&lt;=2,$C29&lt;&gt;0),0,IF($C29=3,OFFSET(G29,-CFF.NumLinha,0)+1,OFFSET(G29,-CFF.NumLinha,0)))</f>
        <v>0</v>
      </c>
      <c r="H29" s="11">
        <f ca="1">IF(AND($C29&lt;=3,$C29&lt;&gt;0),0,IF($C29=4,OFFSET(H29,-CFF.NumLinha,0)+1,OFFSET(H29,-CFF.NumLinha,0)))</f>
        <v>0</v>
      </c>
      <c r="I29" s="11">
        <f ca="1">MATCH(0,OFFSET($D29,1,$C29,ROW($A$39)-ROW($A29)),0)</f>
        <v>10</v>
      </c>
      <c r="J29" s="11">
        <f ca="1">MATCH(OFFSET($D29,0,$C29)+1,OFFSET($D29,1,$C29,ROW($A$39)-ROW($A29)),0)</f>
        <v>3</v>
      </c>
      <c r="K29" s="156">
        <f ca="1">ROUND(INDEX(PO!T$12:T$40,MATCH($A29,PO!$V$12:$V$40,0)),2)+10^-12</f>
        <v>9.9999999999999998E-13</v>
      </c>
      <c r="L29" s="337"/>
      <c r="M29" s="332"/>
      <c r="N29" s="334"/>
      <c r="O29" s="171" t="s">
        <v>20</v>
      </c>
      <c r="P29" s="166">
        <f ca="1">IF($B29,ROUND(P28*$N27,2),ROUND(SUMIF(OFFSET($B29,1,0,$D29),TRUE,OFFSET(P29,1,0,$D29))/SUMIF(OFFSET($B29,1,0,$D29),TRUE,OFFSET($K29,1,0,$D29))*$N27,2))</f>
        <v>0</v>
      </c>
      <c r="Q29" s="144">
        <f t="shared" ref="Q29:W29" ca="1" si="57">IF($B29,ROUND(Q28*$N27,2),ROUND(SUMIF(OFFSET($B29,1,0,$D29),TRUE,OFFSET(Q29,1,0,$D29))/SUMIF(OFFSET($B29,1,0,$D29),TRUE,OFFSET($K29,1,0,$D29))*$N27,2))</f>
        <v>0</v>
      </c>
      <c r="R29" s="144">
        <f t="shared" ca="1" si="57"/>
        <v>0</v>
      </c>
      <c r="S29" s="144">
        <f t="shared" ca="1" si="57"/>
        <v>0</v>
      </c>
      <c r="T29" s="144">
        <f t="shared" ca="1" si="57"/>
        <v>0</v>
      </c>
      <c r="U29" s="144">
        <f t="shared" ca="1" si="57"/>
        <v>0</v>
      </c>
      <c r="V29" s="144">
        <f t="shared" ca="1" si="57"/>
        <v>0</v>
      </c>
      <c r="W29" s="174">
        <f t="shared" ca="1" si="57"/>
        <v>0</v>
      </c>
      <c r="X29" s="163"/>
      <c r="AC29" s="144">
        <f ca="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6" t="str">
        <f ca="1">INDEX(PO!K$12:K$40,MATCH($A32,PO!$V$12:$V$40,0))</f>
        <v>3.</v>
      </c>
      <c r="M30" s="331" t="str">
        <f ca="1">INDEX(PO!N$12:N$40,MATCH($A32,PO!$V$12:$V$40,0))</f>
        <v>DRENAGEM</v>
      </c>
      <c r="N30" s="333">
        <f t="shared" ref="N30" ca="1" si="58">IF(ROUND(K32,2)=0,K32,ROUND(K32,2))</f>
        <v>9.9999999999999998E-13</v>
      </c>
      <c r="O30" s="187" t="s">
        <v>143</v>
      </c>
      <c r="P30" s="193">
        <v>1</v>
      </c>
      <c r="Q30" s="194">
        <v>0.5</v>
      </c>
      <c r="R30" s="194">
        <f t="shared" ref="R30" ca="1" si="59">IF($B32,0,R31-IF(ISNUMBER(Q31),Q31,0))</f>
        <v>0</v>
      </c>
      <c r="S30" s="194">
        <f t="shared" ref="S30" ca="1" si="60">IF($B32,0,S31-IF(ISNUMBER(R31),R31,0))</f>
        <v>0</v>
      </c>
      <c r="T30" s="194">
        <f t="shared" ref="T30" ca="1" si="61">IF($B32,0,T31-IF(ISNUMBER(S31),S31,0))</f>
        <v>0</v>
      </c>
      <c r="U30" s="194">
        <f t="shared" ref="U30" ca="1" si="62">IF($B32,0,U31-IF(ISNUMBER(T31),T31,0))</f>
        <v>0</v>
      </c>
      <c r="V30" s="194">
        <f t="shared" ref="V30" ca="1" si="63">IF($B32,0,V31-IF(ISNUMBER(U31),U31,0))</f>
        <v>0</v>
      </c>
      <c r="W30" s="195">
        <f t="shared" ref="W30" ca="1" si="64">IF($B32,0,W31-IF(ISNUMBER(V31),V31,0))</f>
        <v>0</v>
      </c>
      <c r="X30" s="163"/>
      <c r="AC30" s="188">
        <f t="shared" ref="AC30" ca="1" si="65">IF($B32,0,AC31-IF(ISNUMBER(AB31),AB31,0))</f>
        <v>0</v>
      </c>
    </row>
    <row r="31" spans="1:29" customFormat="1" ht="14.25" x14ac:dyDescent="0.2">
      <c r="A31" s="11"/>
      <c r="B31" s="11"/>
      <c r="C31" s="11"/>
      <c r="D31" s="11"/>
      <c r="E31" s="11"/>
      <c r="F31" s="11"/>
      <c r="G31" s="11"/>
      <c r="H31" s="11"/>
      <c r="I31" s="11"/>
      <c r="J31" s="11"/>
      <c r="K31" s="11"/>
      <c r="L31" s="337"/>
      <c r="M31" s="332"/>
      <c r="N31" s="334"/>
      <c r="O31" s="145" t="s">
        <v>145</v>
      </c>
      <c r="P31" s="165">
        <f t="shared" ref="P31" ca="1" si="66">MIN(IF($B32,P30+IF(ISNUMBER(O31),O31,0),P32/$N30),1)</f>
        <v>1</v>
      </c>
      <c r="Q31" s="143">
        <f t="shared" ref="Q31" ca="1" si="67">MIN(IF($B32,Q30+IF(ISNUMBER(P31),P31,0),Q32/$N30),1)</f>
        <v>1</v>
      </c>
      <c r="R31" s="143">
        <f t="shared" ref="R31" ca="1" si="68">MIN(IF($B32,R30+IF(ISNUMBER(Q31),Q31,0),R32/$N30),1)</f>
        <v>1</v>
      </c>
      <c r="S31" s="143">
        <f t="shared" ref="S31" ca="1" si="69">MIN(IF($B32,S30+IF(ISNUMBER(R31),R31,0),S32/$N30),1)</f>
        <v>1</v>
      </c>
      <c r="T31" s="143">
        <f t="shared" ref="T31" ca="1" si="70">MIN(IF($B32,T30+IF(ISNUMBER(S31),S31,0),T32/$N30),1)</f>
        <v>1</v>
      </c>
      <c r="U31" s="143">
        <f t="shared" ref="U31" ca="1" si="71">MIN(IF($B32,U30+IF(ISNUMBER(T31),T31,0),U32/$N30),1)</f>
        <v>1</v>
      </c>
      <c r="V31" s="143">
        <f t="shared" ref="V31" ca="1" si="72">MIN(IF($B32,V30+IF(ISNUMBER(U31),U31,0),V32/$N30),1)</f>
        <v>1</v>
      </c>
      <c r="W31" s="143">
        <f t="shared" ref="W31" ca="1" si="73">MIN(IF($B32,W30+IF(ISNUMBER(V31),V31,0),W32/$N30),1)</f>
        <v>1</v>
      </c>
      <c r="X31" s="163"/>
      <c r="AC31" s="143">
        <f t="shared" ref="AC31" ca="1" si="74">MIN(IF($B32,AC30+IF(ISNUMBER(AB31),AB31,0),AC32/$N30),1)</f>
        <v>0</v>
      </c>
    </row>
    <row r="32" spans="1:29" customFormat="1" ht="14.25" x14ac:dyDescent="0.2">
      <c r="A32" s="11">
        <f ca="1">OFFSET(A32,-CFF.NumLinha,0)+1</f>
        <v>5</v>
      </c>
      <c r="B32" s="11" t="b">
        <f ca="1">$C32&gt;=OFFSET($C32,CFF.NumLinha,0)</f>
        <v>1</v>
      </c>
      <c r="C32" s="11">
        <f ca="1">INDEX(PO!A$12:A$40,MATCH($A32,PO!$V$12:$V$40,0))</f>
        <v>1</v>
      </c>
      <c r="D32" s="11">
        <f t="shared" ref="D32" ca="1" si="75">IF(ISERROR(J32),I32,SMALL(I32:J32,1))-1</f>
        <v>2</v>
      </c>
      <c r="E32" s="11">
        <f ca="1">IF($C32=1,OFFSET(E32,-CFF.NumLinha,0)+1,OFFSET(E32,-CFF.NumLinha,0))</f>
        <v>3</v>
      </c>
      <c r="F32" s="11">
        <f ca="1">IF($C32=1,0,IF($C32=2,OFFSET(F32,-CFF.NumLinha,0)+1,OFFSET(F32,-CFF.NumLinha,0)))</f>
        <v>0</v>
      </c>
      <c r="G32" s="11">
        <f ca="1">IF(AND($C32&lt;=2,$C32&lt;&gt;0),0,IF($C32=3,OFFSET(G32,-CFF.NumLinha,0)+1,OFFSET(G32,-CFF.NumLinha,0)))</f>
        <v>0</v>
      </c>
      <c r="H32" s="11">
        <f ca="1">IF(AND($C32&lt;=3,$C32&lt;&gt;0),0,IF($C32=4,OFFSET(H32,-CFF.NumLinha,0)+1,OFFSET(H32,-CFF.NumLinha,0)))</f>
        <v>0</v>
      </c>
      <c r="I32" s="11">
        <f ca="1">MATCH(0,OFFSET($D32,1,$C32,ROW($A$39)-ROW($A32)),0)</f>
        <v>7</v>
      </c>
      <c r="J32" s="11">
        <f ca="1">MATCH(OFFSET($D32,0,$C32)+1,OFFSET($D32,1,$C32,ROW($A$39)-ROW($A32)),0)</f>
        <v>3</v>
      </c>
      <c r="K32" s="156">
        <f ca="1">ROUND(INDEX(PO!T$12:T$40,MATCH($A32,PO!$V$12:$V$40,0)),2)+10^-12</f>
        <v>9.9999999999999998E-13</v>
      </c>
      <c r="L32" s="337"/>
      <c r="M32" s="332"/>
      <c r="N32" s="334"/>
      <c r="O32" s="171" t="s">
        <v>20</v>
      </c>
      <c r="P32" s="166">
        <f t="shared" ref="P32:W32" ca="1" si="76">IF($B32,ROUND(P31*$N30,2),ROUND(SUMIF(OFFSET($B32,1,0,$D32),TRUE,OFFSET(P32,1,0,$D32))/SUMIF(OFFSET($B32,1,0,$D32),TRUE,OFFSET($K32,1,0,$D32))*$N30,2))</f>
        <v>0</v>
      </c>
      <c r="Q32" s="144">
        <f t="shared" ca="1" si="76"/>
        <v>0</v>
      </c>
      <c r="R32" s="144">
        <f t="shared" ca="1" si="76"/>
        <v>0</v>
      </c>
      <c r="S32" s="144">
        <f t="shared" ca="1" si="76"/>
        <v>0</v>
      </c>
      <c r="T32" s="144">
        <f t="shared" ca="1" si="76"/>
        <v>0</v>
      </c>
      <c r="U32" s="144">
        <f t="shared" ca="1" si="76"/>
        <v>0</v>
      </c>
      <c r="V32" s="144">
        <f t="shared" ca="1" si="76"/>
        <v>0</v>
      </c>
      <c r="W32" s="174">
        <f t="shared" ca="1" si="76"/>
        <v>0</v>
      </c>
      <c r="X32" s="163"/>
      <c r="AC32" s="144">
        <f t="shared" ref="AC32" ca="1" si="77">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6" t="str">
        <f ca="1">INDEX(PO!K$12:K$40,MATCH($A35,PO!$V$12:$V$40,0))</f>
        <v>4.</v>
      </c>
      <c r="M33" s="331" t="str">
        <f ca="1">INDEX(PO!N$12:N$40,MATCH($A35,PO!$V$12:$V$40,0))</f>
        <v>ADMINISTRAÇÃO LOCAL</v>
      </c>
      <c r="N33" s="333">
        <f t="shared" ref="N33" ca="1" si="78">IF(ROUND(K35,2)=0,K35,ROUND(K35,2))</f>
        <v>9.9999999999999998E-13</v>
      </c>
      <c r="O33" s="187" t="s">
        <v>143</v>
      </c>
      <c r="P33" s="193">
        <f t="shared" ref="P33" ca="1" si="79">IF($B35,0,P34-IF(ISNUMBER(O34),O34,0))</f>
        <v>0</v>
      </c>
      <c r="Q33" s="194">
        <f t="shared" ref="Q33" ca="1" si="80">IF($B35,0,Q34-IF(ISNUMBER(P34),P34,0))</f>
        <v>0</v>
      </c>
      <c r="R33" s="194">
        <v>1</v>
      </c>
      <c r="S33" s="194">
        <f t="shared" ref="S33" ca="1" si="81">IF($B35,0,S34-IF(ISNUMBER(R34),R34,0))</f>
        <v>0</v>
      </c>
      <c r="T33" s="194">
        <f t="shared" ref="T33" ca="1" si="82">IF($B35,0,T34-IF(ISNUMBER(S34),S34,0))</f>
        <v>0</v>
      </c>
      <c r="U33" s="194">
        <f t="shared" ref="U33" ca="1" si="83">IF($B35,0,U34-IF(ISNUMBER(T34),T34,0))</f>
        <v>0</v>
      </c>
      <c r="V33" s="194">
        <f t="shared" ref="V33" ca="1" si="84">IF($B35,0,V34-IF(ISNUMBER(U34),U34,0))</f>
        <v>0</v>
      </c>
      <c r="W33" s="195">
        <f t="shared" ref="W33" ca="1" si="85">IF($B35,0,W34-IF(ISNUMBER(V34),V34,0))</f>
        <v>0</v>
      </c>
      <c r="X33" s="163"/>
      <c r="AC33" s="188">
        <f t="shared" ref="AC33" ca="1" si="86">IF($B35,0,AC34-IF(ISNUMBER(AB34),AB34,0))</f>
        <v>0</v>
      </c>
    </row>
    <row r="34" spans="1:29" customFormat="1" ht="14.25" x14ac:dyDescent="0.2">
      <c r="A34" s="11"/>
      <c r="B34" s="11"/>
      <c r="C34" s="11"/>
      <c r="D34" s="11"/>
      <c r="E34" s="11"/>
      <c r="F34" s="11"/>
      <c r="G34" s="11"/>
      <c r="H34" s="11"/>
      <c r="I34" s="11"/>
      <c r="J34" s="11"/>
      <c r="K34" s="11"/>
      <c r="L34" s="337"/>
      <c r="M34" s="332"/>
      <c r="N34" s="334"/>
      <c r="O34" s="145" t="s">
        <v>145</v>
      </c>
      <c r="P34" s="165">
        <f t="shared" ref="P34" ca="1" si="87">MIN(IF($B35,P33+IF(ISNUMBER(O34),O34,0),P35/$N33),1)</f>
        <v>0</v>
      </c>
      <c r="Q34" s="143">
        <f t="shared" ref="Q34" ca="1" si="88">MIN(IF($B35,Q33+IF(ISNUMBER(P34),P34,0),Q35/$N33),1)</f>
        <v>0</v>
      </c>
      <c r="R34" s="143">
        <f t="shared" ref="R34" ca="1" si="89">MIN(IF($B35,R33+IF(ISNUMBER(Q34),Q34,0),R35/$N33),1)</f>
        <v>1</v>
      </c>
      <c r="S34" s="143">
        <f t="shared" ref="S34" ca="1" si="90">MIN(IF($B35,S33+IF(ISNUMBER(R34),R34,0),S35/$N33),1)</f>
        <v>1</v>
      </c>
      <c r="T34" s="143">
        <f t="shared" ref="T34" ca="1" si="91">MIN(IF($B35,T33+IF(ISNUMBER(S34),S34,0),T35/$N33),1)</f>
        <v>1</v>
      </c>
      <c r="U34" s="143">
        <f t="shared" ref="U34" ca="1" si="92">MIN(IF($B35,U33+IF(ISNUMBER(T34),T34,0),U35/$N33),1)</f>
        <v>1</v>
      </c>
      <c r="V34" s="143">
        <f t="shared" ref="V34" ca="1" si="93">MIN(IF($B35,V33+IF(ISNUMBER(U34),U34,0),V35/$N33),1)</f>
        <v>1</v>
      </c>
      <c r="W34" s="143">
        <f t="shared" ref="W34" ca="1" si="94">MIN(IF($B35,W33+IF(ISNUMBER(V34),V34,0),W35/$N33),1)</f>
        <v>1</v>
      </c>
      <c r="X34" s="163"/>
      <c r="AC34" s="143">
        <f t="shared" ref="AC34" ca="1" si="95">MIN(IF($B35,AC33+IF(ISNUMBER(AB34),AB34,0),AC35/$N33),1)</f>
        <v>0</v>
      </c>
    </row>
    <row r="35" spans="1:29" customFormat="1" ht="14.25" x14ac:dyDescent="0.2">
      <c r="A35" s="11">
        <f ca="1">OFFSET(A35,-CFF.NumLinha,0)+1</f>
        <v>6</v>
      </c>
      <c r="B35" s="11" t="b">
        <f ca="1">$C35&gt;=OFFSET($C35,CFF.NumLinha,0)</f>
        <v>1</v>
      </c>
      <c r="C35" s="11">
        <f ca="1">INDEX(PO!A$12:A$40,MATCH($A35,PO!$V$12:$V$40,0))</f>
        <v>1</v>
      </c>
      <c r="D35" s="11">
        <f t="shared" ref="D35" ca="1" si="96">IF(ISERROR(J35),I35,SMALL(I35:J35,1))-1</f>
        <v>2</v>
      </c>
      <c r="E35" s="11">
        <f ca="1">IF($C35=1,OFFSET(E35,-CFF.NumLinha,0)+1,OFFSET(E35,-CFF.NumLinha,0))</f>
        <v>4</v>
      </c>
      <c r="F35" s="11">
        <f ca="1">IF($C35=1,0,IF($C35=2,OFFSET(F35,-CFF.NumLinha,0)+1,OFFSET(F35,-CFF.NumLinha,0)))</f>
        <v>0</v>
      </c>
      <c r="G35" s="11">
        <f ca="1">IF(AND($C35&lt;=2,$C35&lt;&gt;0),0,IF($C35=3,OFFSET(G35,-CFF.NumLinha,0)+1,OFFSET(G35,-CFF.NumLinha,0)))</f>
        <v>0</v>
      </c>
      <c r="H35" s="11">
        <f ca="1">IF(AND($C35&lt;=3,$C35&lt;&gt;0),0,IF($C35=4,OFFSET(H35,-CFF.NumLinha,0)+1,OFFSET(H35,-CFF.NumLinha,0)))</f>
        <v>0</v>
      </c>
      <c r="I35" s="11">
        <f t="shared" ref="I35" ca="1" si="97">MATCH(0,OFFSET($D35,1,$C35,ROW($A$39)-ROW($A35)),0)</f>
        <v>4</v>
      </c>
      <c r="J35" s="11">
        <f t="shared" ref="J35" ca="1" si="98">MATCH(OFFSET($D35,0,$C35)+1,OFFSET($D35,1,$C35,ROW($A$39)-ROW($A35)),0)</f>
        <v>3</v>
      </c>
      <c r="K35" s="156">
        <f ca="1">ROUND(INDEX(PO!T$12:T$40,MATCH($A35,PO!$V$12:$V$40,0)),2)+10^-12</f>
        <v>9.9999999999999998E-13</v>
      </c>
      <c r="L35" s="337"/>
      <c r="M35" s="332"/>
      <c r="N35" s="334"/>
      <c r="O35" s="171" t="s">
        <v>20</v>
      </c>
      <c r="P35" s="166">
        <f t="shared" ref="P35:W35" ca="1" si="99">IF($B35,ROUND(P34*$N33,2),ROUND(SUMIF(OFFSET($B35,1,0,$D35),TRUE,OFFSET(P35,1,0,$D35))/SUMIF(OFFSET($B35,1,0,$D35),TRUE,OFFSET($K35,1,0,$D35))*$N33,2))</f>
        <v>0</v>
      </c>
      <c r="Q35" s="144">
        <f t="shared" ca="1" si="99"/>
        <v>0</v>
      </c>
      <c r="R35" s="144">
        <f t="shared" ca="1" si="99"/>
        <v>0</v>
      </c>
      <c r="S35" s="144">
        <f t="shared" ca="1" si="99"/>
        <v>0</v>
      </c>
      <c r="T35" s="144">
        <f t="shared" ca="1" si="99"/>
        <v>0</v>
      </c>
      <c r="U35" s="144">
        <f t="shared" ca="1" si="99"/>
        <v>0</v>
      </c>
      <c r="V35" s="144">
        <f t="shared" ca="1" si="99"/>
        <v>0</v>
      </c>
      <c r="W35" s="174">
        <f t="shared" ca="1" si="99"/>
        <v>0</v>
      </c>
      <c r="X35" s="163"/>
      <c r="AC35" s="144">
        <f t="shared" ref="AC35" ca="1" si="100">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6" t="str">
        <f ca="1">INDEX(PO!K$12:K$40,MATCH($A38,PO!$V$12:$V$40,0))</f>
        <v>5.</v>
      </c>
      <c r="M36" s="331" t="str">
        <f ca="1">INDEX(PO!N$12:N$40,MATCH($A38,PO!$V$12:$V$40,0))</f>
        <v>SERVIÇOS FINAIS</v>
      </c>
      <c r="N36" s="333">
        <f t="shared" ref="N36" ca="1" si="101">IF(ROUND(K38,2)=0,K38,ROUND(K38,2))</f>
        <v>9.9999999999999998E-13</v>
      </c>
      <c r="O36" s="187" t="s">
        <v>143</v>
      </c>
      <c r="P36" s="193">
        <f t="shared" ref="P36" ca="1" si="102">IF($B38,0,P37-IF(ISNUMBER(O37),O37,0))</f>
        <v>0</v>
      </c>
      <c r="Q36" s="194">
        <f t="shared" ref="Q36" ca="1" si="103">IF($B38,0,Q37-IF(ISNUMBER(P37),P37,0))</f>
        <v>0</v>
      </c>
      <c r="R36" s="194">
        <v>1</v>
      </c>
      <c r="S36" s="194">
        <f t="shared" ref="S36" ca="1" si="104">IF($B38,0,S37-IF(ISNUMBER(R37),R37,0))</f>
        <v>0</v>
      </c>
      <c r="T36" s="194">
        <f t="shared" ref="T36" ca="1" si="105">IF($B38,0,T37-IF(ISNUMBER(S37),S37,0))</f>
        <v>0</v>
      </c>
      <c r="U36" s="194">
        <f t="shared" ref="U36" ca="1" si="106">IF($B38,0,U37-IF(ISNUMBER(T37),T37,0))</f>
        <v>0</v>
      </c>
      <c r="V36" s="194">
        <f t="shared" ref="V36" ca="1" si="107">IF($B38,0,V37-IF(ISNUMBER(U37),U37,0))</f>
        <v>0</v>
      </c>
      <c r="W36" s="195">
        <f t="shared" ref="W36" ca="1" si="108">IF($B38,0,W37-IF(ISNUMBER(V37),V37,0))</f>
        <v>0</v>
      </c>
      <c r="X36" s="163"/>
      <c r="AC36" s="188">
        <f t="shared" ref="AC36" ca="1" si="109">IF($B38,0,AC37-IF(ISNUMBER(AB37),AB37,0))</f>
        <v>0</v>
      </c>
    </row>
    <row r="37" spans="1:29" customFormat="1" ht="14.25" x14ac:dyDescent="0.2">
      <c r="A37" s="11"/>
      <c r="B37" s="11"/>
      <c r="C37" s="11"/>
      <c r="D37" s="11"/>
      <c r="E37" s="11"/>
      <c r="F37" s="11"/>
      <c r="G37" s="11"/>
      <c r="H37" s="11"/>
      <c r="I37" s="11"/>
      <c r="J37" s="11"/>
      <c r="K37" s="11"/>
      <c r="L37" s="337"/>
      <c r="M37" s="332"/>
      <c r="N37" s="334"/>
      <c r="O37" s="145" t="s">
        <v>145</v>
      </c>
      <c r="P37" s="165">
        <f t="shared" ref="P37" ca="1" si="110">MIN(IF($B38,P36+IF(ISNUMBER(O37),O37,0),P38/$N36),1)</f>
        <v>0</v>
      </c>
      <c r="Q37" s="143">
        <f t="shared" ref="Q37" ca="1" si="111">MIN(IF($B38,Q36+IF(ISNUMBER(P37),P37,0),Q38/$N36),1)</f>
        <v>0</v>
      </c>
      <c r="R37" s="143">
        <f t="shared" ref="R37" ca="1" si="112">MIN(IF($B38,R36+IF(ISNUMBER(Q37),Q37,0),R38/$N36),1)</f>
        <v>1</v>
      </c>
      <c r="S37" s="143">
        <f t="shared" ref="S37" ca="1" si="113">MIN(IF($B38,S36+IF(ISNUMBER(R37),R37,0),S38/$N36),1)</f>
        <v>1</v>
      </c>
      <c r="T37" s="143">
        <f t="shared" ref="T37" ca="1" si="114">MIN(IF($B38,T36+IF(ISNUMBER(S37),S37,0),T38/$N36),1)</f>
        <v>1</v>
      </c>
      <c r="U37" s="143">
        <f t="shared" ref="U37" ca="1" si="115">MIN(IF($B38,U36+IF(ISNUMBER(T37),T37,0),U38/$N36),1)</f>
        <v>1</v>
      </c>
      <c r="V37" s="143">
        <f t="shared" ref="V37" ca="1" si="116">MIN(IF($B38,V36+IF(ISNUMBER(U37),U37,0),V38/$N36),1)</f>
        <v>1</v>
      </c>
      <c r="W37" s="143">
        <f t="shared" ref="W37" ca="1" si="117">MIN(IF($B38,W36+IF(ISNUMBER(V37),V37,0),W38/$N36),1)</f>
        <v>1</v>
      </c>
      <c r="X37" s="163"/>
      <c r="AC37" s="143">
        <f t="shared" ref="AC37" ca="1" si="118">MIN(IF($B38,AC36+IF(ISNUMBER(AB37),AB37,0),AC38/$N36),1)</f>
        <v>0</v>
      </c>
    </row>
    <row r="38" spans="1:29" customFormat="1" ht="14.25" x14ac:dyDescent="0.2">
      <c r="A38" s="11">
        <f ca="1">OFFSET(A38,-CFF.NumLinha,0)+1</f>
        <v>7</v>
      </c>
      <c r="B38" s="11" t="b">
        <f ca="1">$C38&gt;=OFFSET($C38,CFF.NumLinha,0)</f>
        <v>1</v>
      </c>
      <c r="C38" s="11">
        <f ca="1">INDEX(PO!A$12:A$40,MATCH($A38,PO!$V$12:$V$40,0))</f>
        <v>1</v>
      </c>
      <c r="D38" s="11">
        <f t="shared" ref="D38" ca="1" si="119">IF(ISERROR(J38),I38,SMALL(I38:J38,1))-1</f>
        <v>0</v>
      </c>
      <c r="E38" s="11">
        <f ca="1">IF($C38=1,OFFSET(E38,-CFF.NumLinha,0)+1,OFFSET(E38,-CFF.NumLinha,0))</f>
        <v>5</v>
      </c>
      <c r="F38" s="11">
        <f ca="1">IF($C38=1,0,IF($C38=2,OFFSET(F38,-CFF.NumLinha,0)+1,OFFSET(F38,-CFF.NumLinha,0)))</f>
        <v>0</v>
      </c>
      <c r="G38" s="11">
        <f ca="1">IF(AND($C38&lt;=2,$C38&lt;&gt;0),0,IF($C38=3,OFFSET(G38,-CFF.NumLinha,0)+1,OFFSET(G38,-CFF.NumLinha,0)))</f>
        <v>0</v>
      </c>
      <c r="H38" s="11">
        <f ca="1">IF(AND($C38&lt;=3,$C38&lt;&gt;0),0,IF($C38=4,OFFSET(H38,-CFF.NumLinha,0)+1,OFFSET(H38,-CFF.NumLinha,0)))</f>
        <v>0</v>
      </c>
      <c r="I38" s="11">
        <f t="shared" ref="I38" ca="1" si="120">MATCH(0,OFFSET($D38,1,$C38,ROW($A$39)-ROW($A38)),0)</f>
        <v>1</v>
      </c>
      <c r="J38" s="11" t="e">
        <f t="shared" ref="J38" ca="1" si="121">MATCH(OFFSET($D38,0,$C38)+1,OFFSET($D38,1,$C38,ROW($A$39)-ROW($A38)),0)</f>
        <v>#N/A</v>
      </c>
      <c r="K38" s="156">
        <f ca="1">ROUND(INDEX(PO!T$12:T$40,MATCH($A38,PO!$V$12:$V$40,0)),2)+10^-12</f>
        <v>9.9999999999999998E-13</v>
      </c>
      <c r="L38" s="337"/>
      <c r="M38" s="332"/>
      <c r="N38" s="334"/>
      <c r="O38" s="171" t="s">
        <v>20</v>
      </c>
      <c r="P38" s="166">
        <f t="shared" ref="P38:W38" ca="1" si="122">IF($B38,ROUND(P37*$N36,2),ROUND(SUMIF(OFFSET($B38,1,0,$D38),TRUE,OFFSET(P38,1,0,$D38))/SUMIF(OFFSET($B38,1,0,$D38),TRUE,OFFSET($K38,1,0,$D38))*$N36,2))</f>
        <v>0</v>
      </c>
      <c r="Q38" s="144">
        <f t="shared" ca="1" si="122"/>
        <v>0</v>
      </c>
      <c r="R38" s="144">
        <f t="shared" ca="1" si="122"/>
        <v>0</v>
      </c>
      <c r="S38" s="144">
        <f t="shared" ca="1" si="122"/>
        <v>0</v>
      </c>
      <c r="T38" s="144">
        <f t="shared" ca="1" si="122"/>
        <v>0</v>
      </c>
      <c r="U38" s="144">
        <f t="shared" ca="1" si="122"/>
        <v>0</v>
      </c>
      <c r="V38" s="144">
        <f t="shared" ca="1" si="122"/>
        <v>0</v>
      </c>
      <c r="W38" s="174">
        <f t="shared" ca="1" si="122"/>
        <v>0</v>
      </c>
      <c r="X38" s="163"/>
      <c r="AC38" s="144">
        <f t="shared" ref="AC38" ca="1" si="123">IF($B38,ROUND(AC37*$N36,2),ROUND(SUMIF(OFFSET($B38,1,0,$D38),TRUE,OFFSET(AC38,1,0,$D38))/SUMIF(OFFSET($B38,1,0,$D38),TRUE,OFFSET($K38,1,0,$D38))*$N36,2))</f>
        <v>0</v>
      </c>
    </row>
    <row r="39" spans="1:29" ht="12.75" customHeight="1" x14ac:dyDescent="0.2">
      <c r="A39"/>
      <c r="B39"/>
      <c r="C39" s="11">
        <v>-1</v>
      </c>
      <c r="D39" s="11"/>
      <c r="E39" s="11">
        <v>0</v>
      </c>
      <c r="F39" s="11">
        <v>0</v>
      </c>
      <c r="G39" s="11">
        <v>0</v>
      </c>
      <c r="H39" s="11">
        <v>0</v>
      </c>
      <c r="I39"/>
      <c r="J39"/>
      <c r="K39"/>
      <c r="L39" s="69"/>
      <c r="M39" s="69"/>
      <c r="N39" s="131"/>
      <c r="O39" s="69"/>
      <c r="P39" s="69"/>
      <c r="Q39" s="131"/>
      <c r="R39" s="69"/>
      <c r="S39" s="69"/>
      <c r="T39" s="69"/>
      <c r="U39" s="69"/>
      <c r="V39" s="69"/>
      <c r="W39" s="69"/>
      <c r="X39" s="157"/>
      <c r="AC39" s="69"/>
    </row>
    <row r="40" spans="1:29" ht="12" customHeight="1" x14ac:dyDescent="0.2">
      <c r="A40"/>
      <c r="B40"/>
      <c r="C40"/>
      <c r="D40"/>
      <c r="E40"/>
      <c r="F40"/>
      <c r="G40"/>
      <c r="H40"/>
      <c r="I40"/>
      <c r="J40"/>
      <c r="K40"/>
      <c r="L40" s="1"/>
      <c r="M40" s="1"/>
      <c r="N40" s="1"/>
      <c r="O40" s="1"/>
      <c r="P40" s="1"/>
      <c r="Q40" s="1"/>
      <c r="R40" s="1"/>
      <c r="S40" s="1"/>
      <c r="T40" s="1"/>
      <c r="U40" s="1"/>
      <c r="V40" s="1"/>
      <c r="W40" s="1"/>
      <c r="X40" s="157"/>
      <c r="AC40" s="1"/>
    </row>
    <row r="41" spans="1:29" x14ac:dyDescent="0.2">
      <c r="A41"/>
      <c r="B41"/>
      <c r="C41"/>
      <c r="D41"/>
      <c r="E41"/>
      <c r="F41"/>
      <c r="G41"/>
      <c r="H41"/>
      <c r="I41"/>
      <c r="J41"/>
      <c r="K41"/>
      <c r="L41" s="341">
        <f>DADOS!I32</f>
        <v>0</v>
      </c>
      <c r="M41" s="341"/>
      <c r="N41" s="341"/>
      <c r="O41" s="1"/>
      <c r="P41" s="158"/>
      <c r="Q41" s="338"/>
      <c r="R41" s="338"/>
      <c r="S41" s="338"/>
      <c r="T41" s="1"/>
      <c r="U41" s="1"/>
      <c r="V41" s="1"/>
      <c r="W41" s="1"/>
      <c r="X41" s="157"/>
      <c r="AC41" s="1"/>
    </row>
    <row r="42" spans="1:29" x14ac:dyDescent="0.2">
      <c r="A42"/>
      <c r="B42"/>
      <c r="C42"/>
      <c r="D42"/>
      <c r="E42"/>
      <c r="F42"/>
      <c r="G42"/>
      <c r="H42"/>
      <c r="I42"/>
      <c r="J42"/>
      <c r="K42"/>
      <c r="L42" s="159" t="s">
        <v>120</v>
      </c>
      <c r="M42" s="340"/>
      <c r="N42" s="340"/>
      <c r="O42" s="1"/>
      <c r="P42" s="158"/>
      <c r="Q42" s="338"/>
      <c r="R42" s="338"/>
      <c r="S42" s="338"/>
      <c r="T42" s="1"/>
      <c r="U42" s="1"/>
      <c r="V42" s="1"/>
      <c r="W42" s="1"/>
      <c r="X42" s="157"/>
      <c r="AC42" s="1"/>
    </row>
    <row r="43" spans="1:29" x14ac:dyDescent="0.2">
      <c r="A43"/>
      <c r="B43"/>
      <c r="C43"/>
      <c r="D43"/>
      <c r="E43"/>
      <c r="F43"/>
      <c r="G43"/>
      <c r="H43"/>
      <c r="I43"/>
      <c r="J43"/>
      <c r="K43"/>
      <c r="L43" s="158"/>
      <c r="M43" s="339"/>
      <c r="N43" s="340"/>
      <c r="O43" s="1"/>
      <c r="P43" s="158"/>
      <c r="Q43" s="338"/>
      <c r="R43" s="338"/>
      <c r="S43" s="338"/>
      <c r="T43" s="1"/>
      <c r="U43" s="1"/>
      <c r="V43" s="1"/>
      <c r="W43" s="1"/>
      <c r="X43" s="157"/>
      <c r="AC43" s="1"/>
    </row>
    <row r="44" spans="1:29" x14ac:dyDescent="0.2">
      <c r="A44"/>
      <c r="B44"/>
      <c r="C44"/>
      <c r="D44"/>
      <c r="E44"/>
      <c r="F44"/>
      <c r="G44"/>
      <c r="H44"/>
      <c r="I44"/>
      <c r="J44"/>
      <c r="K44"/>
      <c r="L44" s="342">
        <f ca="1">PO!K54</f>
        <v>46084</v>
      </c>
      <c r="M44" s="342"/>
      <c r="N44" s="342"/>
      <c r="O44" s="1"/>
      <c r="P44" s="1"/>
      <c r="Q44" s="1"/>
      <c r="R44" s="1"/>
      <c r="S44" s="1"/>
      <c r="T44" s="1"/>
      <c r="U44" s="1"/>
      <c r="V44" s="1"/>
      <c r="W44" s="1"/>
      <c r="X44" s="160"/>
      <c r="AC44" s="1"/>
    </row>
    <row r="45" spans="1:29" x14ac:dyDescent="0.2">
      <c r="A45"/>
      <c r="B45"/>
      <c r="C45"/>
      <c r="D45"/>
      <c r="E45"/>
      <c r="F45"/>
      <c r="G45"/>
      <c r="H45"/>
      <c r="I45"/>
      <c r="J45"/>
      <c r="K45"/>
      <c r="L45" s="161" t="s">
        <v>121</v>
      </c>
      <c r="M45" s="69"/>
      <c r="N45" s="69"/>
      <c r="O45" s="1"/>
      <c r="P45" s="1"/>
      <c r="Q45" s="1"/>
      <c r="R45" s="1"/>
      <c r="S45" s="1"/>
      <c r="T45" s="1"/>
      <c r="U45" s="1"/>
      <c r="V45" s="1"/>
      <c r="W45" s="1"/>
      <c r="X45" s="160"/>
      <c r="AC45" s="1"/>
    </row>
    <row r="46" spans="1:29" x14ac:dyDescent="0.2">
      <c r="A46"/>
      <c r="B46"/>
      <c r="C46"/>
      <c r="D46"/>
      <c r="E46"/>
      <c r="F46"/>
      <c r="G46"/>
      <c r="H46"/>
      <c r="I46"/>
      <c r="J46"/>
      <c r="K46"/>
      <c r="L46" s="1"/>
      <c r="M46" s="1"/>
      <c r="N46" s="1"/>
      <c r="O46" s="1"/>
      <c r="P46" s="1"/>
      <c r="Q46" s="1"/>
      <c r="R46" s="1"/>
      <c r="S46" s="1"/>
      <c r="T46" s="1"/>
      <c r="U46" s="1"/>
      <c r="V46" s="1"/>
      <c r="W46" s="1"/>
      <c r="X46" s="160"/>
      <c r="AC46" s="1"/>
    </row>
    <row r="47" spans="1:29" x14ac:dyDescent="0.2">
      <c r="A47"/>
      <c r="B47"/>
      <c r="C47"/>
      <c r="D47"/>
      <c r="E47"/>
      <c r="F47"/>
      <c r="G47"/>
      <c r="H47"/>
      <c r="I47"/>
      <c r="J47"/>
      <c r="K47"/>
      <c r="L47" s="1"/>
      <c r="M47" s="1"/>
      <c r="N47" s="4"/>
      <c r="O47" s="1"/>
      <c r="P47" s="1"/>
      <c r="Q47" s="1"/>
      <c r="R47" s="1"/>
      <c r="S47" s="1"/>
      <c r="T47" s="1"/>
      <c r="U47" s="1"/>
      <c r="V47" s="1"/>
      <c r="W47" s="1"/>
      <c r="X47" s="157"/>
      <c r="AC47" s="1"/>
    </row>
    <row r="48" spans="1:29" x14ac:dyDescent="0.2">
      <c r="A48"/>
      <c r="B48"/>
      <c r="C48"/>
      <c r="D48"/>
      <c r="E48"/>
      <c r="F48"/>
      <c r="G48"/>
      <c r="H48"/>
      <c r="I48"/>
      <c r="J48"/>
      <c r="K48"/>
      <c r="L48" s="1"/>
      <c r="M48" s="1"/>
      <c r="N48" s="4"/>
      <c r="O48" s="1"/>
      <c r="P48" s="1"/>
      <c r="Q48" s="1"/>
      <c r="R48" s="1"/>
      <c r="S48" s="1"/>
      <c r="T48" s="1"/>
      <c r="U48" s="1"/>
      <c r="V48" s="1"/>
      <c r="W48" s="1"/>
      <c r="X48" s="157"/>
      <c r="AC48" s="1"/>
    </row>
    <row r="49" spans="1:29" x14ac:dyDescent="0.2">
      <c r="A49"/>
      <c r="B49"/>
      <c r="C49"/>
      <c r="D49"/>
      <c r="E49"/>
      <c r="F49"/>
      <c r="G49"/>
      <c r="H49"/>
      <c r="I49"/>
      <c r="J49"/>
      <c r="K49"/>
      <c r="L49" s="1"/>
      <c r="M49" s="1"/>
      <c r="N49" s="4"/>
      <c r="O49" s="1"/>
      <c r="P49" s="1"/>
      <c r="Q49" s="1"/>
      <c r="R49" s="1"/>
      <c r="S49" s="1"/>
      <c r="T49" s="1"/>
      <c r="U49" s="1"/>
      <c r="V49" s="1"/>
      <c r="W49" s="1"/>
      <c r="X49" s="157"/>
      <c r="AC49" s="1"/>
    </row>
  </sheetData>
  <sheetProtection algorithmName="SHA-512" hashValue="64k8RVSnjxDst9wxyxxYRIML89MH12KUdZLlUX18vAtivoA+BBCtfiPEmwEWagA2if6Nj/Al1KoIQw4zU2lCxg==" saltValue="P9jxneMoNd6b/tPa1Dak4w==" spinCount="100000" sheet="1" objects="1" scenarios="1"/>
  <mergeCells count="34">
    <mergeCell ref="L44:N44"/>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Q43:S43"/>
    <mergeCell ref="M43:N43"/>
    <mergeCell ref="Q42:S42"/>
    <mergeCell ref="Q41:S41"/>
    <mergeCell ref="L41:N41"/>
    <mergeCell ref="M42:N42"/>
    <mergeCell ref="M36:M38"/>
    <mergeCell ref="N36:N38"/>
    <mergeCell ref="L8:M8"/>
    <mergeCell ref="N11:N13"/>
    <mergeCell ref="M18:M20"/>
    <mergeCell ref="N18:N20"/>
    <mergeCell ref="L21:L23"/>
    <mergeCell ref="M21:M23"/>
    <mergeCell ref="N21:N23"/>
    <mergeCell ref="L24:L26"/>
    <mergeCell ref="M24:M26"/>
    <mergeCell ref="N24:N26"/>
  </mergeCells>
  <phoneticPr fontId="21" type="noConversion"/>
  <conditionalFormatting sqref="L11:N11 L12:M13 L18:N18">
    <cfRule type="expression" dxfId="118" priority="1069" stopIfTrue="1">
      <formula>$C13=1</formula>
    </cfRule>
  </conditionalFormatting>
  <conditionalFormatting sqref="O11 O18">
    <cfRule type="expression" dxfId="117" priority="1141" stopIfTrue="1">
      <formula>$B13=FALSE</formula>
    </cfRule>
    <cfRule type="expression" dxfId="116" priority="1142" stopIfTrue="1">
      <formula>$C13=1</formula>
    </cfRule>
  </conditionalFormatting>
  <conditionalFormatting sqref="P12:W12">
    <cfRule type="expression" dxfId="115" priority="1131" stopIfTrue="1">
      <formula>AND(ISNUMBER(O13),O13&gt;=$N11)</formula>
    </cfRule>
    <cfRule type="cellIs" dxfId="114" priority="1132" stopIfTrue="1" operator="notBetween">
      <formula>0</formula>
      <formula>1</formula>
    </cfRule>
  </conditionalFormatting>
  <conditionalFormatting sqref="P13:W13">
    <cfRule type="expression" dxfId="113" priority="1133" stopIfTrue="1">
      <formula>AND(ISNUMBER(O13),O13&gt;=$N11)</formula>
    </cfRule>
    <cfRule type="cellIs" dxfId="112" priority="1134" stopIfTrue="1" operator="notBetween">
      <formula>0</formula>
      <formula>$N11</formula>
    </cfRule>
  </conditionalFormatting>
  <conditionalFormatting sqref="P14:W14">
    <cfRule type="expression" dxfId="111" priority="1135" stopIfTrue="1">
      <formula>AND(ISNUMBER(O17),O17&gt;=$N14)</formula>
    </cfRule>
  </conditionalFormatting>
  <conditionalFormatting sqref="P15:W15">
    <cfRule type="expression" dxfId="110" priority="1136" stopIfTrue="1">
      <formula>AND(ISNUMBER(O17),O17&gt;=$N14)</formula>
    </cfRule>
  </conditionalFormatting>
  <conditionalFormatting sqref="P16:W16">
    <cfRule type="expression" dxfId="109" priority="1137" stopIfTrue="1">
      <formula>AND(ISNUMBER(O17),O17&gt;=$N14)</formula>
    </cfRule>
    <cfRule type="cellIs" dxfId="108" priority="1138" stopIfTrue="1" operator="notBetween">
      <formula>0</formula>
      <formula>1</formula>
    </cfRule>
  </conditionalFormatting>
  <conditionalFormatting sqref="P17:W17">
    <cfRule type="expression" dxfId="107" priority="1139" stopIfTrue="1">
      <formula>AND(ISNUMBER(O17),O17&gt;=$N14)</formula>
    </cfRule>
    <cfRule type="cellIs" dxfId="106" priority="1140" stopIfTrue="1" operator="notBetween">
      <formula>0</formula>
      <formula>$N14</formula>
    </cfRule>
  </conditionalFormatting>
  <conditionalFormatting sqref="L8">
    <cfRule type="cellIs" dxfId="105" priority="1126" stopIfTrue="1" operator="notEqual">
      <formula>""</formula>
    </cfRule>
  </conditionalFormatting>
  <conditionalFormatting sqref="N9">
    <cfRule type="expression" dxfId="104" priority="1125" stopIfTrue="1">
      <formula>TipoOrçamento&lt;&gt;"REPROGRAMADOAC"</formula>
    </cfRule>
  </conditionalFormatting>
  <conditionalFormatting sqref="L19:M20">
    <cfRule type="expression" dxfId="103" priority="1960" stopIfTrue="1">
      <formula>#REF!=1</formula>
    </cfRule>
  </conditionalFormatting>
  <conditionalFormatting sqref="P11:W11">
    <cfRule type="expression" dxfId="102" priority="280" stopIfTrue="1">
      <formula>AND(ISNUMBER(O13),O13&gt;=$N11)</formula>
    </cfRule>
    <cfRule type="expression" dxfId="101" priority="281" stopIfTrue="1">
      <formula>$B13=FALSE</formula>
    </cfRule>
    <cfRule type="expression" dxfId="100" priority="282" stopIfTrue="1">
      <formula>$C13=1</formula>
    </cfRule>
  </conditionalFormatting>
  <conditionalFormatting sqref="P19:W19">
    <cfRule type="expression" dxfId="99" priority="231" stopIfTrue="1">
      <formula>AND(ISNUMBER(O20),O20&gt;=$N18)</formula>
    </cfRule>
    <cfRule type="cellIs" dxfId="98" priority="232" stopIfTrue="1" operator="notBetween">
      <formula>0</formula>
      <formula>1</formula>
    </cfRule>
  </conditionalFormatting>
  <conditionalFormatting sqref="P20:W20">
    <cfRule type="expression" dxfId="97" priority="233" stopIfTrue="1">
      <formula>AND(ISNUMBER(O20),O20&gt;=$N18)</formula>
    </cfRule>
    <cfRule type="cellIs" dxfId="96" priority="234" stopIfTrue="1" operator="notBetween">
      <formula>0</formula>
      <formula>$N18</formula>
    </cfRule>
  </conditionalFormatting>
  <conditionalFormatting sqref="O10:W10">
    <cfRule type="expression" dxfId="95" priority="203" stopIfTrue="1">
      <formula>1=1</formula>
    </cfRule>
  </conditionalFormatting>
  <conditionalFormatting sqref="P18:W18">
    <cfRule type="expression" dxfId="94" priority="158" stopIfTrue="1">
      <formula>AND(ISNUMBER(O20),O20&gt;=$N18)</formula>
    </cfRule>
    <cfRule type="expression" dxfId="93" priority="159" stopIfTrue="1">
      <formula>$B20=FALSE</formula>
    </cfRule>
    <cfRule type="expression" dxfId="92" priority="160" stopIfTrue="1">
      <formula>$C20=1</formula>
    </cfRule>
  </conditionalFormatting>
  <conditionalFormatting sqref="AC18">
    <cfRule type="expression" dxfId="91" priority="78" stopIfTrue="1">
      <formula>AND(ISNUMBER(AB20),AB20&gt;=$N18)</formula>
    </cfRule>
    <cfRule type="expression" dxfId="90" priority="79" stopIfTrue="1">
      <formula>$B20=FALSE</formula>
    </cfRule>
    <cfRule type="expression" dxfId="89" priority="80" stopIfTrue="1">
      <formula>$C20=1</formula>
    </cfRule>
  </conditionalFormatting>
  <conditionalFormatting sqref="AC12">
    <cfRule type="expression" dxfId="88" priority="93" stopIfTrue="1">
      <formula>AND(ISNUMBER(AB13),AB13&gt;=$N11)</formula>
    </cfRule>
    <cfRule type="cellIs" dxfId="87" priority="94" stopIfTrue="1" operator="notBetween">
      <formula>0</formula>
      <formula>1</formula>
    </cfRule>
  </conditionalFormatting>
  <conditionalFormatting sqref="AC13">
    <cfRule type="expression" dxfId="86" priority="95" stopIfTrue="1">
      <formula>AND(ISNUMBER(AB13),AB13&gt;=$N11)</formula>
    </cfRule>
    <cfRule type="cellIs" dxfId="85" priority="96" stopIfTrue="1" operator="notBetween">
      <formula>0</formula>
      <formula>$N11</formula>
    </cfRule>
  </conditionalFormatting>
  <conditionalFormatting sqref="AC14">
    <cfRule type="expression" dxfId="84" priority="97" stopIfTrue="1">
      <formula>AND(ISNUMBER(AB17),AB17&gt;=$N14)</formula>
    </cfRule>
  </conditionalFormatting>
  <conditionalFormatting sqref="AC15">
    <cfRule type="expression" dxfId="83" priority="98" stopIfTrue="1">
      <formula>AND(ISNUMBER(AB17),AB17&gt;=$N14)</formula>
    </cfRule>
  </conditionalFormatting>
  <conditionalFormatting sqref="AC16">
    <cfRule type="expression" dxfId="82" priority="99" stopIfTrue="1">
      <formula>AND(ISNUMBER(AB17),AB17&gt;=$N14)</formula>
    </cfRule>
    <cfRule type="cellIs" dxfId="81" priority="100" stopIfTrue="1" operator="notBetween">
      <formula>0</formula>
      <formula>1</formula>
    </cfRule>
  </conditionalFormatting>
  <conditionalFormatting sqref="AC17">
    <cfRule type="expression" dxfId="80" priority="101" stopIfTrue="1">
      <formula>AND(ISNUMBER(AB17),AB17&gt;=$N14)</formula>
    </cfRule>
    <cfRule type="cellIs" dxfId="79" priority="102" stopIfTrue="1" operator="notBetween">
      <formula>0</formula>
      <formula>$N14</formula>
    </cfRule>
  </conditionalFormatting>
  <conditionalFormatting sqref="AC11">
    <cfRule type="expression" dxfId="78" priority="90" stopIfTrue="1">
      <formula>AND(ISNUMBER(AB13),AB13&gt;=$N11)</formula>
    </cfRule>
    <cfRule type="expression" dxfId="77" priority="91" stopIfTrue="1">
      <formula>$B13=FALSE</formula>
    </cfRule>
    <cfRule type="expression" dxfId="76" priority="92" stopIfTrue="1">
      <formula>$C13=1</formula>
    </cfRule>
  </conditionalFormatting>
  <conditionalFormatting sqref="AC19">
    <cfRule type="expression" dxfId="75" priority="86" stopIfTrue="1">
      <formula>AND(ISNUMBER(AB20),AB20&gt;=$N18)</formula>
    </cfRule>
    <cfRule type="cellIs" dxfId="74" priority="87" stopIfTrue="1" operator="notBetween">
      <formula>0</formula>
      <formula>1</formula>
    </cfRule>
  </conditionalFormatting>
  <conditionalFormatting sqref="AC20">
    <cfRule type="expression" dxfId="73" priority="88" stopIfTrue="1">
      <formula>AND(ISNUMBER(AB20),AB20&gt;=$N18)</formula>
    </cfRule>
    <cfRule type="cellIs" dxfId="72" priority="89" stopIfTrue="1" operator="notBetween">
      <formula>0</formula>
      <formula>$N18</formula>
    </cfRule>
  </conditionalFormatting>
  <conditionalFormatting sqref="AC10">
    <cfRule type="expression" dxfId="71" priority="81" stopIfTrue="1">
      <formula>1=1</formula>
    </cfRule>
  </conditionalFormatting>
  <conditionalFormatting sqref="L21:N21 L24:N24 L22:M23">
    <cfRule type="expression" dxfId="70" priority="62" stopIfTrue="1">
      <formula>$C23=1</formula>
    </cfRule>
  </conditionalFormatting>
  <conditionalFormatting sqref="O21 O24">
    <cfRule type="expression" dxfId="69" priority="67" stopIfTrue="1">
      <formula>$B23=FALSE</formula>
    </cfRule>
    <cfRule type="expression" dxfId="68" priority="68" stopIfTrue="1">
      <formula>$C23=1</formula>
    </cfRule>
  </conditionalFormatting>
  <conditionalFormatting sqref="P22:W22 P25:W25">
    <cfRule type="expression" dxfId="67" priority="63" stopIfTrue="1">
      <formula>AND(ISNUMBER(O23),O23&gt;=$N21)</formula>
    </cfRule>
    <cfRule type="cellIs" dxfId="66" priority="64" stopIfTrue="1" operator="notBetween">
      <formula>0</formula>
      <formula>1</formula>
    </cfRule>
  </conditionalFormatting>
  <conditionalFormatting sqref="P23:W23 P26:W26">
    <cfRule type="expression" dxfId="65" priority="65" stopIfTrue="1">
      <formula>AND(ISNUMBER(O23),O23&gt;=$N21)</formula>
    </cfRule>
    <cfRule type="cellIs" dxfId="64" priority="66" stopIfTrue="1" operator="notBetween">
      <formula>0</formula>
      <formula>$N21</formula>
    </cfRule>
  </conditionalFormatting>
  <conditionalFormatting sqref="P21:W21 P24:W24">
    <cfRule type="expression" dxfId="63" priority="59" stopIfTrue="1">
      <formula>AND(ISNUMBER(O23),O23&gt;=$N21)</formula>
    </cfRule>
    <cfRule type="expression" dxfId="62" priority="60" stopIfTrue="1">
      <formula>$B23=FALSE</formula>
    </cfRule>
    <cfRule type="expression" dxfId="61" priority="61" stopIfTrue="1">
      <formula>$C23=1</formula>
    </cfRule>
  </conditionalFormatting>
  <conditionalFormatting sqref="AC22 AC25">
    <cfRule type="expression" dxfId="60" priority="55" stopIfTrue="1">
      <formula>AND(ISNUMBER(AB23),AB23&gt;=$N21)</formula>
    </cfRule>
    <cfRule type="cellIs" dxfId="59" priority="56" stopIfTrue="1" operator="notBetween">
      <formula>0</formula>
      <formula>1</formula>
    </cfRule>
  </conditionalFormatting>
  <conditionalFormatting sqref="AC23 AC26">
    <cfRule type="expression" dxfId="58" priority="57" stopIfTrue="1">
      <formula>AND(ISNUMBER(AB23),AB23&gt;=$N21)</formula>
    </cfRule>
    <cfRule type="cellIs" dxfId="57" priority="58" stopIfTrue="1" operator="notBetween">
      <formula>0</formula>
      <formula>$N21</formula>
    </cfRule>
  </conditionalFormatting>
  <conditionalFormatting sqref="AC21 AC24">
    <cfRule type="expression" dxfId="56" priority="52" stopIfTrue="1">
      <formula>AND(ISNUMBER(AB23),AB23&gt;=$N21)</formula>
    </cfRule>
    <cfRule type="expression" dxfId="55" priority="53" stopIfTrue="1">
      <formula>$B23=FALSE</formula>
    </cfRule>
    <cfRule type="expression" dxfId="54" priority="54" stopIfTrue="1">
      <formula>$C23=1</formula>
    </cfRule>
  </conditionalFormatting>
  <conditionalFormatting sqref="L25:M26">
    <cfRule type="expression" dxfId="53" priority="2357" stopIfTrue="1">
      <formula>#REF!=1</formula>
    </cfRule>
  </conditionalFormatting>
  <conditionalFormatting sqref="L27:N27">
    <cfRule type="expression" dxfId="52" priority="45" stopIfTrue="1">
      <formula>$C29=1</formula>
    </cfRule>
  </conditionalFormatting>
  <conditionalFormatting sqref="O27">
    <cfRule type="expression" dxfId="51" priority="50" stopIfTrue="1">
      <formula>$B29=FALSE</formula>
    </cfRule>
    <cfRule type="expression" dxfId="50" priority="51" stopIfTrue="1">
      <formula>$C29=1</formula>
    </cfRule>
  </conditionalFormatting>
  <conditionalFormatting sqref="P28:W28">
    <cfRule type="expression" dxfId="49" priority="46" stopIfTrue="1">
      <formula>AND(ISNUMBER(O29),O29&gt;=$N27)</formula>
    </cfRule>
    <cfRule type="cellIs" dxfId="48" priority="47" stopIfTrue="1" operator="notBetween">
      <formula>0</formula>
      <formula>1</formula>
    </cfRule>
  </conditionalFormatting>
  <conditionalFormatting sqref="P29:W29">
    <cfRule type="expression" dxfId="47" priority="48" stopIfTrue="1">
      <formula>AND(ISNUMBER(O29),O29&gt;=$N27)</formula>
    </cfRule>
    <cfRule type="cellIs" dxfId="46" priority="49" stopIfTrue="1" operator="notBetween">
      <formula>0</formula>
      <formula>$N27</formula>
    </cfRule>
  </conditionalFormatting>
  <conditionalFormatting sqref="P27:W27">
    <cfRule type="expression" dxfId="45" priority="42" stopIfTrue="1">
      <formula>AND(ISNUMBER(O29),O29&gt;=$N27)</formula>
    </cfRule>
    <cfRule type="expression" dxfId="44" priority="43" stopIfTrue="1">
      <formula>$B29=FALSE</formula>
    </cfRule>
    <cfRule type="expression" dxfId="43" priority="44" stopIfTrue="1">
      <formula>$C29=1</formula>
    </cfRule>
  </conditionalFormatting>
  <conditionalFormatting sqref="AC28">
    <cfRule type="expression" dxfId="42" priority="38" stopIfTrue="1">
      <formula>AND(ISNUMBER(AB29),AB29&gt;=$N27)</formula>
    </cfRule>
    <cfRule type="cellIs" dxfId="41" priority="39" stopIfTrue="1" operator="notBetween">
      <formula>0</formula>
      <formula>1</formula>
    </cfRule>
  </conditionalFormatting>
  <conditionalFormatting sqref="AC29">
    <cfRule type="expression" dxfId="40" priority="40" stopIfTrue="1">
      <formula>AND(ISNUMBER(AB29),AB29&gt;=$N27)</formula>
    </cfRule>
    <cfRule type="cellIs" dxfId="39" priority="41" stopIfTrue="1" operator="notBetween">
      <formula>0</formula>
      <formula>$N27</formula>
    </cfRule>
  </conditionalFormatting>
  <conditionalFormatting sqref="AC27">
    <cfRule type="expression" dxfId="38" priority="35" stopIfTrue="1">
      <formula>AND(ISNUMBER(AB29),AB29&gt;=$N27)</formula>
    </cfRule>
    <cfRule type="expression" dxfId="37" priority="36" stopIfTrue="1">
      <formula>$B29=FALSE</formula>
    </cfRule>
    <cfRule type="expression" dxfId="36" priority="37" stopIfTrue="1">
      <formula>$C29=1</formula>
    </cfRule>
  </conditionalFormatting>
  <conditionalFormatting sqref="L28:M29">
    <cfRule type="expression" dxfId="35" priority="2382" stopIfTrue="1">
      <formula>$C39=1</formula>
    </cfRule>
  </conditionalFormatting>
  <conditionalFormatting sqref="L30:N30">
    <cfRule type="expression" dxfId="34" priority="28" stopIfTrue="1">
      <formula>$C32=1</formula>
    </cfRule>
  </conditionalFormatting>
  <conditionalFormatting sqref="O30">
    <cfRule type="expression" dxfId="33" priority="33" stopIfTrue="1">
      <formula>$B32=FALSE</formula>
    </cfRule>
    <cfRule type="expression" dxfId="32" priority="34" stopIfTrue="1">
      <formula>$C32=1</formula>
    </cfRule>
  </conditionalFormatting>
  <conditionalFormatting sqref="P31:W31">
    <cfRule type="expression" dxfId="31" priority="29" stopIfTrue="1">
      <formula>AND(ISNUMBER(O32),O32&gt;=$N30)</formula>
    </cfRule>
    <cfRule type="cellIs" dxfId="30" priority="30" stopIfTrue="1" operator="notBetween">
      <formula>0</formula>
      <formula>1</formula>
    </cfRule>
  </conditionalFormatting>
  <conditionalFormatting sqref="P32:W32">
    <cfRule type="expression" dxfId="29" priority="31" stopIfTrue="1">
      <formula>AND(ISNUMBER(O32),O32&gt;=$N30)</formula>
    </cfRule>
    <cfRule type="cellIs" dxfId="28" priority="32" stopIfTrue="1" operator="notBetween">
      <formula>0</formula>
      <formula>$N30</formula>
    </cfRule>
  </conditionalFormatting>
  <conditionalFormatting sqref="P30:W30">
    <cfRule type="expression" dxfId="27" priority="25" stopIfTrue="1">
      <formula>AND(ISNUMBER(O32),O32&gt;=$N30)</formula>
    </cfRule>
    <cfRule type="expression" dxfId="26" priority="26" stopIfTrue="1">
      <formula>$B32=FALSE</formula>
    </cfRule>
    <cfRule type="expression" dxfId="25" priority="27" stopIfTrue="1">
      <formula>$C32=1</formula>
    </cfRule>
  </conditionalFormatting>
  <conditionalFormatting sqref="AC31">
    <cfRule type="expression" dxfId="24" priority="21" stopIfTrue="1">
      <formula>AND(ISNUMBER(AB32),AB32&gt;=$N30)</formula>
    </cfRule>
    <cfRule type="cellIs" dxfId="23" priority="22" stopIfTrue="1" operator="notBetween">
      <formula>0</formula>
      <formula>1</formula>
    </cfRule>
  </conditionalFormatting>
  <conditionalFormatting sqref="AC32">
    <cfRule type="expression" dxfId="22" priority="23" stopIfTrue="1">
      <formula>AND(ISNUMBER(AB32),AB32&gt;=$N30)</formula>
    </cfRule>
    <cfRule type="cellIs" dxfId="21" priority="24" stopIfTrue="1" operator="notBetween">
      <formula>0</formula>
      <formula>$N30</formula>
    </cfRule>
  </conditionalFormatting>
  <conditionalFormatting sqref="AC30">
    <cfRule type="expression" dxfId="20" priority="18" stopIfTrue="1">
      <formula>AND(ISNUMBER(AB32),AB32&gt;=$N30)</formula>
    </cfRule>
    <cfRule type="expression" dxfId="19" priority="19" stopIfTrue="1">
      <formula>$B32=FALSE</formula>
    </cfRule>
    <cfRule type="expression" dxfId="18" priority="20" stopIfTrue="1">
      <formula>$C32=1</formula>
    </cfRule>
  </conditionalFormatting>
  <conditionalFormatting sqref="L31:M32">
    <cfRule type="expression" dxfId="17" priority="2383" stopIfTrue="1">
      <formula>#REF!=1</formula>
    </cfRule>
  </conditionalFormatting>
  <conditionalFormatting sqref="L33:N33 L36:N36 L34:M35 L37:M38">
    <cfRule type="expression" dxfId="16" priority="11" stopIfTrue="1">
      <formula>$C35=1</formula>
    </cfRule>
  </conditionalFormatting>
  <conditionalFormatting sqref="O33 O36">
    <cfRule type="expression" dxfId="15" priority="16" stopIfTrue="1">
      <formula>$B35=FALSE</formula>
    </cfRule>
    <cfRule type="expression" dxfId="14" priority="17" stopIfTrue="1">
      <formula>$C35=1</formula>
    </cfRule>
  </conditionalFormatting>
  <conditionalFormatting sqref="P34:W34 P37:W37">
    <cfRule type="expression" dxfId="13" priority="12" stopIfTrue="1">
      <formula>AND(ISNUMBER(O35),O35&gt;=$N33)</formula>
    </cfRule>
    <cfRule type="cellIs" dxfId="12" priority="13" stopIfTrue="1" operator="notBetween">
      <formula>0</formula>
      <formula>1</formula>
    </cfRule>
  </conditionalFormatting>
  <conditionalFormatting sqref="P35:W35 P38:W38">
    <cfRule type="expression" dxfId="11" priority="14" stopIfTrue="1">
      <formula>AND(ISNUMBER(O35),O35&gt;=$N33)</formula>
    </cfRule>
    <cfRule type="cellIs" dxfId="10" priority="15" stopIfTrue="1" operator="notBetween">
      <formula>0</formula>
      <formula>$N33</formula>
    </cfRule>
  </conditionalFormatting>
  <conditionalFormatting sqref="P33:W33 P36:W36">
    <cfRule type="expression" dxfId="9" priority="8" stopIfTrue="1">
      <formula>AND(ISNUMBER(O35),O35&gt;=$N33)</formula>
    </cfRule>
    <cfRule type="expression" dxfId="8" priority="9" stopIfTrue="1">
      <formula>$B35=FALSE</formula>
    </cfRule>
    <cfRule type="expression" dxfId="7" priority="10" stopIfTrue="1">
      <formula>$C35=1</formula>
    </cfRule>
  </conditionalFormatting>
  <conditionalFormatting sqref="AC34 AC37">
    <cfRule type="expression" dxfId="6" priority="4" stopIfTrue="1">
      <formula>AND(ISNUMBER(AB35),AB35&gt;=$N33)</formula>
    </cfRule>
    <cfRule type="cellIs" dxfId="5" priority="5" stopIfTrue="1" operator="notBetween">
      <formula>0</formula>
      <formula>1</formula>
    </cfRule>
  </conditionalFormatting>
  <conditionalFormatting sqref="AC35 AC38">
    <cfRule type="expression" dxfId="4" priority="6" stopIfTrue="1">
      <formula>AND(ISNUMBER(AB35),AB35&gt;=$N33)</formula>
    </cfRule>
    <cfRule type="cellIs" dxfId="3" priority="7" stopIfTrue="1" operator="notBetween">
      <formula>0</formula>
      <formula>$N33</formula>
    </cfRule>
  </conditionalFormatting>
  <conditionalFormatting sqref="AC33 AC36">
    <cfRule type="expression" dxfId="2" priority="1" stopIfTrue="1">
      <formula>AND(ISNUMBER(AB35),AB35&gt;=$N33)</formula>
    </cfRule>
    <cfRule type="expression" dxfId="1" priority="2" stopIfTrue="1">
      <formula>$B35=FALSE</formula>
    </cfRule>
    <cfRule type="expression" dxfId="0" priority="3" stopIfTrue="1">
      <formula>$C35=1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AC21 AC24 P27:W27 AC27 P30:W30 AC30 P33:W33 P36:W36 AC33 AC36"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Deoli</dc:creator>
  <cp:lastModifiedBy>User</cp:lastModifiedBy>
  <cp:lastPrinted>2023-11-08T13:36:04Z</cp:lastPrinted>
  <dcterms:created xsi:type="dcterms:W3CDTF">1998-03-27T18:43:07Z</dcterms:created>
  <dcterms:modified xsi:type="dcterms:W3CDTF">2026-03-03T14:06:48Z</dcterms:modified>
</cp:coreProperties>
</file>