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3500" windowHeight="8205"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PLQ!$B$1:$O$248</definedName>
    <definedName name="_xlnm.Print_Area" localSheetId="2">PO!$K$1:$T$257</definedName>
    <definedName name="_xlnm.Database">TEXT(Import.DataBase,"mm-aaaa")</definedName>
    <definedName name="CFF.ColunaPadrão">CFF!$AC:$AC</definedName>
    <definedName name="CFF.Colunas">CFF!$P$10:$X$10</definedName>
    <definedName name="CFF.Dados">OFFSET(CFF!$L$17,1,0):OFFSET(CFF!$X$54,-1,-1)</definedName>
    <definedName name="CFF.IncluirLinha">MAX(PO!$V$12:$V$242)*CFF.NumLinha-ROW(CFF!$F$54)+ROW(CFF!$F$17)+1</definedName>
    <definedName name="CFF.Item">OFFSET(CFF!$L$17,1,0):OFFSET(CFF!$X$54,-1,-1)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OFFSET(PO!$M$12,1,0):OFFSET(PO!$M$242,-1,0)</definedName>
    <definedName name="Import.CR">DADOS!$A$29</definedName>
    <definedName name="Import.CTEF">DADOS!$A$43</definedName>
    <definedName name="Import.CustoUnitário">OFFSET(PO!$Q$12,1,0):OFFSET(PO!$Q$242,-1,0)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OFFSET(PO!$N$12,1,0):OFFSET(PO!$N$242,-1,0)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OFFSET(PO!$L$12,1,0):OFFSET(PO!$L$242,-1,0)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OFFSET(PO!$K$12,1,0):OFFSET(PO!$K$242,-1,0)</definedName>
    <definedName name="Import.Localidade">DADOS!$K$32</definedName>
    <definedName name="Import.LocalSINAPI">DADOS!$D$38</definedName>
    <definedName name="Import.Município">DADOS!$G$32</definedName>
    <definedName name="Import.Nível">OFFSET(PO!$J$12,1,0):OFFSET(PO!$J$242,-1,0)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OFFSET(PLQ!$F$12,1,0):OFFSET(PLQ!$P$242,-1,-1)</definedName>
    <definedName name="Import.POArred">PO!$X$3:$X$7</definedName>
    <definedName name="Import.PreçoTotal">OFFSET(PO!$T$12,1,0):OFFSET(PO!$T$242,-1,0)</definedName>
    <definedName name="Import.PreçoUnitário">OFFSET(PO!$S$12,1,0):OFFSET(PO!$S$242,-1,0)</definedName>
    <definedName name="Import.Programa">DADOS!$F$29</definedName>
    <definedName name="Import.Proponente">DADOS!$A$32</definedName>
    <definedName name="Import.Quantidade">OFFSET(PO!$P$12,1,0):OFFSET(PO!$P$242,-1,0)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OFFSET(PO!$O$12,1,0):OFFSET(PO!$O$242,-1,0)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OFFSET(PO!$Z$12,1,0):OFFSET(PO!$Z$242,-1,0)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PO!$K$243</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PLQ!$B$9:OFFSET(PLQ!$B$242,-1,0)</definedName>
    <definedName name="PLQ.LinhaPadrão">PLQ!$A$11:$P$11</definedName>
    <definedName name="PLQ.qtde.frentes">COUNTA(PLQ!$F$9:$P$9)</definedName>
    <definedName name="PO.BDI">OFFSET(PO!$R$12,1,0):OFFSET(PO!$R$242,-1,0)</definedName>
    <definedName name="PO.CustoRef">OFFSET(PO!$Y$12,1,0):OFFSET(PO!$Y$242,-1,0)</definedName>
    <definedName name="PO.CustoUnitario">ROUND(PO!$Q1,15-13*PO!$X$4)</definedName>
    <definedName name="PO.Dados">PO!$C$12:OFFSET(PO!$Z$242,-1,0)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3" l="1"/>
  <c r="A15" i="13"/>
  <c r="W15" i="12"/>
  <c r="B15" i="12"/>
  <c r="A15" i="12"/>
  <c r="F14" i="13"/>
  <c r="A14" i="13"/>
  <c r="W14" i="12"/>
  <c r="A14" i="12"/>
  <c r="H15" i="12" l="1"/>
  <c r="V15" i="12"/>
  <c r="I15" i="12"/>
  <c r="E15" i="13"/>
  <c r="V14" i="12"/>
  <c r="E14" i="13"/>
  <c r="P241" i="12"/>
  <c r="P227" i="12" l="1"/>
  <c r="P228" i="12" s="1"/>
  <c r="P229" i="12" s="1"/>
  <c r="X15" i="12"/>
  <c r="X14" i="12"/>
  <c r="P221" i="12" l="1"/>
  <c r="P171" i="12" s="1"/>
  <c r="P220" i="12"/>
  <c r="P218" i="12"/>
  <c r="P217" i="12"/>
  <c r="P215" i="12"/>
  <c r="P214" i="12"/>
  <c r="P213" i="12"/>
  <c r="P212" i="12"/>
  <c r="P211" i="12"/>
  <c r="P207" i="12"/>
  <c r="P206" i="12"/>
  <c r="P204" i="12"/>
  <c r="P203" i="12"/>
  <c r="P202" i="12"/>
  <c r="P198" i="12"/>
  <c r="P197" i="12"/>
  <c r="P196" i="12"/>
  <c r="P193" i="12"/>
  <c r="P192" i="12"/>
  <c r="P191" i="12"/>
  <c r="P190" i="12"/>
  <c r="C15" i="13" l="1"/>
  <c r="D15" i="13"/>
  <c r="C14" i="13"/>
  <c r="D14" i="13"/>
  <c r="F226" i="13"/>
  <c r="A226" i="13"/>
  <c r="F225" i="13"/>
  <c r="A225" i="13"/>
  <c r="F224" i="13"/>
  <c r="A224" i="13"/>
  <c r="F223" i="13"/>
  <c r="A223" i="13"/>
  <c r="F222" i="13"/>
  <c r="A222" i="13"/>
  <c r="W226" i="12"/>
  <c r="A226" i="12"/>
  <c r="V226" i="12" s="1"/>
  <c r="W225" i="12"/>
  <c r="A225" i="12"/>
  <c r="V225" i="12" s="1"/>
  <c r="W224" i="12"/>
  <c r="A224" i="12"/>
  <c r="W223" i="12"/>
  <c r="A223" i="12"/>
  <c r="I223" i="12" s="1"/>
  <c r="W222" i="12"/>
  <c r="A222" i="12"/>
  <c r="F229" i="13"/>
  <c r="A229" i="13"/>
  <c r="F228" i="13"/>
  <c r="A228" i="13"/>
  <c r="F227" i="13"/>
  <c r="A227" i="13"/>
  <c r="W229" i="12"/>
  <c r="A229" i="12"/>
  <c r="V229" i="12" s="1"/>
  <c r="W228" i="12"/>
  <c r="A228" i="12"/>
  <c r="V228" i="12" s="1"/>
  <c r="W227" i="12"/>
  <c r="A227" i="12"/>
  <c r="P90" i="12"/>
  <c r="V223" i="12" l="1"/>
  <c r="H223" i="12"/>
  <c r="B223" i="12"/>
  <c r="V227" i="12"/>
  <c r="I227" i="12"/>
  <c r="H227" i="12"/>
  <c r="V224" i="12"/>
  <c r="H224" i="12"/>
  <c r="B224" i="12"/>
  <c r="I224" i="12"/>
  <c r="I225" i="12"/>
  <c r="I226" i="12"/>
  <c r="E223" i="13"/>
  <c r="E225" i="13"/>
  <c r="B225" i="12"/>
  <c r="B226" i="12"/>
  <c r="H228" i="12"/>
  <c r="H229" i="12"/>
  <c r="E222" i="13"/>
  <c r="E224" i="13"/>
  <c r="E226" i="13"/>
  <c r="H225" i="12"/>
  <c r="H226" i="12"/>
  <c r="E228" i="13"/>
  <c r="B227" i="12"/>
  <c r="B228" i="12"/>
  <c r="I228" i="12"/>
  <c r="B229" i="12"/>
  <c r="I229" i="12"/>
  <c r="E227" i="13"/>
  <c r="E229" i="13"/>
  <c r="F186" i="13" l="1"/>
  <c r="A186" i="13"/>
  <c r="F185" i="13"/>
  <c r="A185" i="13"/>
  <c r="F184" i="13"/>
  <c r="A184" i="13"/>
  <c r="F183" i="13"/>
  <c r="A183" i="13"/>
  <c r="F182" i="13"/>
  <c r="A182" i="13"/>
  <c r="F181" i="13"/>
  <c r="A181" i="13"/>
  <c r="F180" i="13"/>
  <c r="A180" i="13"/>
  <c r="F179" i="13"/>
  <c r="A179" i="13"/>
  <c r="F178" i="13"/>
  <c r="A178" i="13"/>
  <c r="F177" i="13"/>
  <c r="A177" i="13"/>
  <c r="F176" i="13"/>
  <c r="A176" i="13"/>
  <c r="F175" i="13"/>
  <c r="A175" i="13"/>
  <c r="F174" i="13"/>
  <c r="A174" i="13"/>
  <c r="F173" i="13"/>
  <c r="A173" i="13"/>
  <c r="F172" i="13"/>
  <c r="A172" i="13"/>
  <c r="F171" i="13"/>
  <c r="A171" i="13"/>
  <c r="W186" i="12"/>
  <c r="A186" i="12"/>
  <c r="V186" i="12" s="1"/>
  <c r="W185" i="12"/>
  <c r="A185" i="12"/>
  <c r="I185" i="12" s="1"/>
  <c r="W184" i="12"/>
  <c r="A184" i="12"/>
  <c r="I184" i="12" s="1"/>
  <c r="W183" i="12"/>
  <c r="A183" i="12"/>
  <c r="W182" i="12"/>
  <c r="A182" i="12"/>
  <c r="W181" i="12"/>
  <c r="A181" i="12"/>
  <c r="I181" i="12" s="1"/>
  <c r="W180" i="12"/>
  <c r="A180" i="12"/>
  <c r="I180" i="12" s="1"/>
  <c r="W179" i="12"/>
  <c r="A179" i="12"/>
  <c r="W178" i="12"/>
  <c r="A178" i="12"/>
  <c r="W177" i="12"/>
  <c r="A177" i="12"/>
  <c r="V177" i="12" s="1"/>
  <c r="W176" i="12"/>
  <c r="A176" i="12"/>
  <c r="W175" i="12"/>
  <c r="A175" i="12"/>
  <c r="H175" i="12" s="1"/>
  <c r="W174" i="12"/>
  <c r="A174" i="12"/>
  <c r="H174" i="12" s="1"/>
  <c r="W173" i="12"/>
  <c r="A173" i="12"/>
  <c r="H173" i="12" s="1"/>
  <c r="W172" i="12"/>
  <c r="A172" i="12"/>
  <c r="W171" i="12"/>
  <c r="A171" i="12"/>
  <c r="V171" i="12" s="1"/>
  <c r="B180" i="12" l="1"/>
  <c r="V175" i="12"/>
  <c r="V174" i="12"/>
  <c r="V173" i="12"/>
  <c r="H171" i="12"/>
  <c r="H177" i="12"/>
  <c r="B184" i="12"/>
  <c r="B186" i="12"/>
  <c r="E180" i="13"/>
  <c r="E184" i="13"/>
  <c r="E173" i="13"/>
  <c r="E172" i="13"/>
  <c r="E176" i="13"/>
  <c r="E171" i="13"/>
  <c r="B172" i="12"/>
  <c r="I172" i="12"/>
  <c r="B176" i="12"/>
  <c r="I176" i="12"/>
  <c r="E174" i="13"/>
  <c r="E182" i="13"/>
  <c r="I171" i="12"/>
  <c r="B175" i="12"/>
  <c r="I175" i="12"/>
  <c r="B174" i="12"/>
  <c r="I174" i="12"/>
  <c r="V178" i="12"/>
  <c r="H178" i="12"/>
  <c r="I178" i="12"/>
  <c r="B178" i="12"/>
  <c r="V179" i="12"/>
  <c r="H179" i="12"/>
  <c r="I179" i="12"/>
  <c r="V182" i="12"/>
  <c r="H182" i="12"/>
  <c r="I182" i="12"/>
  <c r="B182" i="12"/>
  <c r="V183" i="12"/>
  <c r="H183" i="12"/>
  <c r="I183" i="12"/>
  <c r="E178" i="13"/>
  <c r="E186" i="13"/>
  <c r="B171" i="12"/>
  <c r="H172" i="12"/>
  <c r="V172" i="12"/>
  <c r="B173" i="12"/>
  <c r="I173" i="12"/>
  <c r="H176" i="12"/>
  <c r="V176" i="12"/>
  <c r="B177" i="12"/>
  <c r="I177" i="12"/>
  <c r="B179" i="12"/>
  <c r="B183" i="12"/>
  <c r="V181" i="12"/>
  <c r="H181" i="12"/>
  <c r="V185" i="12"/>
  <c r="H185" i="12"/>
  <c r="V180" i="12"/>
  <c r="H180" i="12"/>
  <c r="B181" i="12"/>
  <c r="V184" i="12"/>
  <c r="H184" i="12"/>
  <c r="B185" i="12"/>
  <c r="I186" i="12"/>
  <c r="E175" i="13"/>
  <c r="E177" i="13"/>
  <c r="E179" i="13"/>
  <c r="E181" i="13"/>
  <c r="E183" i="13"/>
  <c r="E185" i="13"/>
  <c r="H186" i="12"/>
  <c r="X222" i="12" l="1"/>
  <c r="C222" i="13" l="1"/>
  <c r="D222" i="13"/>
  <c r="F170" i="13" l="1"/>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F140" i="13"/>
  <c r="A140" i="13"/>
  <c r="F139" i="13"/>
  <c r="A139" i="13"/>
  <c r="F138" i="13"/>
  <c r="A138" i="13"/>
  <c r="F137" i="13"/>
  <c r="A137" i="13"/>
  <c r="F136" i="13"/>
  <c r="A136" i="13"/>
  <c r="F135" i="13"/>
  <c r="A135" i="13"/>
  <c r="F134" i="13"/>
  <c r="A134" i="13"/>
  <c r="F133" i="13"/>
  <c r="A133" i="13"/>
  <c r="F132" i="13"/>
  <c r="A132" i="13"/>
  <c r="F131" i="13"/>
  <c r="A131" i="13"/>
  <c r="F130" i="13"/>
  <c r="A130" i="13"/>
  <c r="F129" i="13"/>
  <c r="A129" i="13"/>
  <c r="F128" i="13"/>
  <c r="A128" i="13"/>
  <c r="F127" i="13"/>
  <c r="A127" i="13"/>
  <c r="F126" i="13"/>
  <c r="A126" i="13"/>
  <c r="F125" i="13"/>
  <c r="A125" i="13"/>
  <c r="F124" i="13"/>
  <c r="A124" i="13"/>
  <c r="F123" i="13"/>
  <c r="A123" i="13"/>
  <c r="F122" i="13"/>
  <c r="A122" i="13"/>
  <c r="F121" i="13"/>
  <c r="A121" i="13"/>
  <c r="F120" i="13"/>
  <c r="A120" i="13"/>
  <c r="F119" i="13"/>
  <c r="A119" i="13"/>
  <c r="F118" i="13"/>
  <c r="A118" i="13"/>
  <c r="F117" i="13"/>
  <c r="A117" i="13"/>
  <c r="F116" i="13"/>
  <c r="A116" i="13"/>
  <c r="F115" i="13"/>
  <c r="A115" i="13"/>
  <c r="F114" i="13"/>
  <c r="A114" i="13"/>
  <c r="F113" i="13"/>
  <c r="A113" i="13"/>
  <c r="F112" i="13"/>
  <c r="A112" i="13"/>
  <c r="E112" i="13" s="1"/>
  <c r="W170" i="12"/>
  <c r="A170" i="12"/>
  <c r="W169" i="12"/>
  <c r="A169" i="12"/>
  <c r="V169" i="12" s="1"/>
  <c r="W168" i="12"/>
  <c r="A168" i="12"/>
  <c r="V168" i="12" s="1"/>
  <c r="W167" i="12"/>
  <c r="A167" i="12"/>
  <c r="H167" i="12" s="1"/>
  <c r="W166" i="12"/>
  <c r="A166" i="12"/>
  <c r="I166" i="12" s="1"/>
  <c r="W165" i="12"/>
  <c r="A165" i="12"/>
  <c r="B165" i="12" s="1"/>
  <c r="W164" i="12"/>
  <c r="A164" i="12"/>
  <c r="B164" i="12" s="1"/>
  <c r="W163" i="12"/>
  <c r="A163" i="12"/>
  <c r="B163" i="12" s="1"/>
  <c r="W162" i="12"/>
  <c r="A162" i="12"/>
  <c r="B162" i="12" s="1"/>
  <c r="W161" i="12"/>
  <c r="A161" i="12"/>
  <c r="B161" i="12" s="1"/>
  <c r="W160" i="12"/>
  <c r="A160" i="12"/>
  <c r="W159" i="12"/>
  <c r="A159" i="12"/>
  <c r="B159" i="12" s="1"/>
  <c r="W158" i="12"/>
  <c r="A158" i="12"/>
  <c r="I158" i="12" s="1"/>
  <c r="W157" i="12"/>
  <c r="A157" i="12"/>
  <c r="V157" i="12" s="1"/>
  <c r="W156" i="12"/>
  <c r="A156" i="12"/>
  <c r="V156" i="12" s="1"/>
  <c r="W155" i="12"/>
  <c r="A155" i="12"/>
  <c r="V155" i="12" s="1"/>
  <c r="W154" i="12"/>
  <c r="A154" i="12"/>
  <c r="V154" i="12" s="1"/>
  <c r="W153" i="12"/>
  <c r="A153" i="12"/>
  <c r="V153" i="12" s="1"/>
  <c r="W152" i="12"/>
  <c r="A152" i="12"/>
  <c r="V152" i="12" s="1"/>
  <c r="W151" i="12"/>
  <c r="A151" i="12"/>
  <c r="V151" i="12" s="1"/>
  <c r="W150" i="12"/>
  <c r="A150" i="12"/>
  <c r="W149" i="12"/>
  <c r="A149" i="12"/>
  <c r="V149" i="12" s="1"/>
  <c r="W148" i="12"/>
  <c r="A148" i="12"/>
  <c r="V148" i="12" s="1"/>
  <c r="W147" i="12"/>
  <c r="A147" i="12"/>
  <c r="V147" i="12" s="1"/>
  <c r="W146" i="12"/>
  <c r="A146" i="12"/>
  <c r="V146" i="12" s="1"/>
  <c r="W145" i="12"/>
  <c r="A145" i="12"/>
  <c r="V145" i="12" s="1"/>
  <c r="W144" i="12"/>
  <c r="A144" i="12"/>
  <c r="V144" i="12" s="1"/>
  <c r="W143" i="12"/>
  <c r="A143" i="12"/>
  <c r="V143" i="12" s="1"/>
  <c r="W142" i="12"/>
  <c r="A142" i="12"/>
  <c r="V142" i="12" s="1"/>
  <c r="W141" i="12"/>
  <c r="A141" i="12"/>
  <c r="V141" i="12" s="1"/>
  <c r="W140" i="12"/>
  <c r="A140" i="12"/>
  <c r="V140" i="12" s="1"/>
  <c r="W139" i="12"/>
  <c r="A139" i="12"/>
  <c r="V139" i="12" s="1"/>
  <c r="W138" i="12"/>
  <c r="A138" i="12"/>
  <c r="W137" i="12"/>
  <c r="A137" i="12"/>
  <c r="W136" i="12"/>
  <c r="A136" i="12"/>
  <c r="V136" i="12" s="1"/>
  <c r="W135" i="12"/>
  <c r="A135" i="12"/>
  <c r="V135" i="12" s="1"/>
  <c r="W134" i="12"/>
  <c r="A134" i="12"/>
  <c r="V134" i="12" s="1"/>
  <c r="W133" i="12"/>
  <c r="A133" i="12"/>
  <c r="W132" i="12"/>
  <c r="A132" i="12"/>
  <c r="H132" i="12" s="1"/>
  <c r="W131" i="12"/>
  <c r="A131" i="12"/>
  <c r="H131" i="12" s="1"/>
  <c r="W130" i="12"/>
  <c r="A130" i="12"/>
  <c r="V130" i="12" s="1"/>
  <c r="W129" i="12"/>
  <c r="A129" i="12"/>
  <c r="V129" i="12" s="1"/>
  <c r="W128" i="12"/>
  <c r="A128" i="12"/>
  <c r="V128" i="12" s="1"/>
  <c r="W127" i="12"/>
  <c r="A127" i="12"/>
  <c r="V127" i="12" s="1"/>
  <c r="W126" i="12"/>
  <c r="A126" i="12"/>
  <c r="W125" i="12"/>
  <c r="A125" i="12"/>
  <c r="W124" i="12"/>
  <c r="H124" i="12"/>
  <c r="A124" i="12"/>
  <c r="V124" i="12" s="1"/>
  <c r="W123" i="12"/>
  <c r="A123" i="12"/>
  <c r="V123" i="12" s="1"/>
  <c r="W122" i="12"/>
  <c r="A122" i="12"/>
  <c r="V122" i="12" s="1"/>
  <c r="W121" i="12"/>
  <c r="A121" i="12"/>
  <c r="V121" i="12" s="1"/>
  <c r="W120" i="12"/>
  <c r="A120" i="12"/>
  <c r="V120" i="12" s="1"/>
  <c r="W119" i="12"/>
  <c r="A119" i="12"/>
  <c r="V119" i="12" s="1"/>
  <c r="W118" i="12"/>
  <c r="A118" i="12"/>
  <c r="V118" i="12" s="1"/>
  <c r="W117" i="12"/>
  <c r="A117" i="12"/>
  <c r="V117" i="12" s="1"/>
  <c r="W116" i="12"/>
  <c r="A116" i="12"/>
  <c r="V116" i="12" s="1"/>
  <c r="W115" i="12"/>
  <c r="A115" i="12"/>
  <c r="V115" i="12" s="1"/>
  <c r="W114" i="12"/>
  <c r="A114" i="12"/>
  <c r="V114" i="12" s="1"/>
  <c r="W113" i="12"/>
  <c r="A113" i="12"/>
  <c r="V113" i="12" s="1"/>
  <c r="X112" i="12"/>
  <c r="W112" i="12"/>
  <c r="A112" i="12"/>
  <c r="H120" i="12" l="1"/>
  <c r="V131" i="12"/>
  <c r="V132" i="12"/>
  <c r="H117" i="12"/>
  <c r="H127" i="12"/>
  <c r="H121" i="12"/>
  <c r="H130" i="12"/>
  <c r="H119" i="12"/>
  <c r="H123" i="12"/>
  <c r="H129" i="12"/>
  <c r="H113" i="12"/>
  <c r="H118" i="12"/>
  <c r="H122" i="12"/>
  <c r="H128" i="12"/>
  <c r="I162" i="12"/>
  <c r="H114" i="12"/>
  <c r="B166" i="12"/>
  <c r="B167" i="12"/>
  <c r="B168" i="12"/>
  <c r="H116" i="12"/>
  <c r="H115" i="12"/>
  <c r="H168" i="12"/>
  <c r="I169" i="12"/>
  <c r="I168" i="12"/>
  <c r="H134" i="12"/>
  <c r="H135" i="12"/>
  <c r="H136" i="12"/>
  <c r="H139" i="12"/>
  <c r="H140" i="12"/>
  <c r="H141" i="12"/>
  <c r="H142" i="12"/>
  <c r="H143" i="12"/>
  <c r="H144" i="12"/>
  <c r="H145" i="12"/>
  <c r="H146" i="12"/>
  <c r="H147" i="12"/>
  <c r="H148" i="12"/>
  <c r="H149" i="12"/>
  <c r="H152" i="12"/>
  <c r="H153" i="12"/>
  <c r="H154" i="12"/>
  <c r="H155" i="12"/>
  <c r="H156" i="12"/>
  <c r="I157" i="12"/>
  <c r="B158" i="12"/>
  <c r="E133" i="13"/>
  <c r="E135" i="13"/>
  <c r="E137" i="13"/>
  <c r="E139" i="13"/>
  <c r="E141" i="13"/>
  <c r="E143" i="13"/>
  <c r="E145" i="13"/>
  <c r="E147" i="13"/>
  <c r="E149" i="13"/>
  <c r="E151" i="13"/>
  <c r="E153" i="13"/>
  <c r="E155" i="13"/>
  <c r="E157" i="13"/>
  <c r="E159" i="13"/>
  <c r="E161" i="13"/>
  <c r="E163" i="13"/>
  <c r="E165" i="13"/>
  <c r="E167" i="13"/>
  <c r="E169" i="13"/>
  <c r="E116" i="13"/>
  <c r="E120" i="13"/>
  <c r="E128" i="13"/>
  <c r="E130" i="13"/>
  <c r="E132" i="13"/>
  <c r="E122" i="13"/>
  <c r="E124" i="13"/>
  <c r="E126" i="13"/>
  <c r="E121" i="13"/>
  <c r="E123" i="13"/>
  <c r="E125" i="13"/>
  <c r="E113" i="13"/>
  <c r="E115" i="13"/>
  <c r="E118" i="13"/>
  <c r="E129" i="13"/>
  <c r="E136" i="13"/>
  <c r="E140" i="13"/>
  <c r="E142" i="13"/>
  <c r="E144" i="13"/>
  <c r="E146" i="13"/>
  <c r="E148" i="13"/>
  <c r="E150" i="13"/>
  <c r="E152" i="13"/>
  <c r="E154" i="13"/>
  <c r="E156" i="13"/>
  <c r="E158" i="13"/>
  <c r="E160" i="13"/>
  <c r="E162" i="13"/>
  <c r="E164" i="13"/>
  <c r="E166" i="13"/>
  <c r="E168" i="13"/>
  <c r="E170" i="13"/>
  <c r="E117" i="13"/>
  <c r="E119" i="13"/>
  <c r="E131" i="13"/>
  <c r="D112" i="13"/>
  <c r="E114" i="13"/>
  <c r="E127" i="13"/>
  <c r="B150" i="12"/>
  <c r="V150" i="12"/>
  <c r="H150" i="12"/>
  <c r="B133" i="12"/>
  <c r="V133" i="12"/>
  <c r="H133" i="12"/>
  <c r="C112" i="13"/>
  <c r="B126" i="12"/>
  <c r="V126" i="12"/>
  <c r="H126" i="12"/>
  <c r="I133" i="12"/>
  <c r="B138" i="12"/>
  <c r="V138" i="12"/>
  <c r="H138" i="12"/>
  <c r="I150" i="12"/>
  <c r="B137" i="12"/>
  <c r="V137" i="12"/>
  <c r="H137" i="12"/>
  <c r="I137" i="12"/>
  <c r="I126" i="12"/>
  <c r="I138" i="12"/>
  <c r="I113" i="12"/>
  <c r="I116" i="12"/>
  <c r="I117" i="12"/>
  <c r="I118" i="12"/>
  <c r="I119" i="12"/>
  <c r="I121" i="12"/>
  <c r="I122" i="12"/>
  <c r="I124" i="12"/>
  <c r="B125" i="12"/>
  <c r="I131" i="12"/>
  <c r="B132" i="12"/>
  <c r="I132" i="12"/>
  <c r="B136" i="12"/>
  <c r="V160" i="12"/>
  <c r="H160" i="12"/>
  <c r="B113" i="12"/>
  <c r="B114" i="12"/>
  <c r="B115" i="12"/>
  <c r="B116" i="12"/>
  <c r="B117" i="12"/>
  <c r="B118" i="12"/>
  <c r="B119" i="12"/>
  <c r="B120" i="12"/>
  <c r="B121" i="12"/>
  <c r="B122" i="12"/>
  <c r="B123" i="12"/>
  <c r="B124" i="12"/>
  <c r="H125" i="12"/>
  <c r="B129" i="12"/>
  <c r="I129" i="12"/>
  <c r="B135" i="12"/>
  <c r="I135" i="12"/>
  <c r="B148" i="12"/>
  <c r="I148" i="12"/>
  <c r="H151" i="12"/>
  <c r="B152" i="12"/>
  <c r="I152" i="12"/>
  <c r="B153" i="12"/>
  <c r="I153" i="12"/>
  <c r="B154" i="12"/>
  <c r="I154" i="12"/>
  <c r="B155" i="12"/>
  <c r="I155" i="12"/>
  <c r="B156" i="12"/>
  <c r="I156" i="12"/>
  <c r="H157" i="12"/>
  <c r="B157" i="12"/>
  <c r="B160" i="12"/>
  <c r="I170" i="12"/>
  <c r="H170" i="12"/>
  <c r="B170" i="12"/>
  <c r="I114" i="12"/>
  <c r="I115" i="12"/>
  <c r="I120" i="12"/>
  <c r="I123" i="12"/>
  <c r="B130" i="12"/>
  <c r="I130" i="12"/>
  <c r="B131" i="12"/>
  <c r="I136" i="12"/>
  <c r="B149" i="12"/>
  <c r="I149" i="12"/>
  <c r="V164" i="12"/>
  <c r="H164" i="12"/>
  <c r="I125" i="12"/>
  <c r="V125" i="12"/>
  <c r="B127" i="12"/>
  <c r="I127" i="12"/>
  <c r="B128" i="12"/>
  <c r="I128" i="12"/>
  <c r="B134" i="12"/>
  <c r="I134" i="12"/>
  <c r="B139" i="12"/>
  <c r="I139" i="12"/>
  <c r="B140" i="12"/>
  <c r="I140" i="12"/>
  <c r="B141" i="12"/>
  <c r="I141" i="12"/>
  <c r="B142" i="12"/>
  <c r="I142" i="12"/>
  <c r="B143" i="12"/>
  <c r="I143" i="12"/>
  <c r="B144" i="12"/>
  <c r="I144" i="12"/>
  <c r="B145" i="12"/>
  <c r="I145" i="12"/>
  <c r="B146" i="12"/>
  <c r="I146" i="12"/>
  <c r="B147" i="12"/>
  <c r="I147" i="12"/>
  <c r="B151" i="12"/>
  <c r="I151" i="12"/>
  <c r="V158" i="12"/>
  <c r="H158" i="12"/>
  <c r="I160" i="12"/>
  <c r="V162" i="12"/>
  <c r="H162" i="12"/>
  <c r="I164" i="12"/>
  <c r="V166" i="12"/>
  <c r="H166" i="12"/>
  <c r="V170" i="12"/>
  <c r="V159" i="12"/>
  <c r="H159" i="12"/>
  <c r="I159" i="12"/>
  <c r="V161" i="12"/>
  <c r="H161" i="12"/>
  <c r="I161" i="12"/>
  <c r="V163" i="12"/>
  <c r="H163" i="12"/>
  <c r="I163" i="12"/>
  <c r="V165" i="12"/>
  <c r="H165" i="12"/>
  <c r="I165" i="12"/>
  <c r="V167" i="12"/>
  <c r="I167" i="12"/>
  <c r="E134" i="13"/>
  <c r="E138" i="13"/>
  <c r="B169" i="12"/>
  <c r="H169" i="12"/>
  <c r="F103" i="13"/>
  <c r="A103" i="13"/>
  <c r="F102" i="13"/>
  <c r="A102" i="13"/>
  <c r="F101" i="13"/>
  <c r="A101" i="13"/>
  <c r="W103" i="12"/>
  <c r="A103" i="12"/>
  <c r="W102" i="12"/>
  <c r="A102" i="12"/>
  <c r="X101" i="12"/>
  <c r="D101" i="13" s="1"/>
  <c r="W101" i="12"/>
  <c r="A101" i="12"/>
  <c r="P34" i="12"/>
  <c r="F34" i="13" s="1"/>
  <c r="F35" i="13"/>
  <c r="A35" i="13"/>
  <c r="A34" i="13"/>
  <c r="F33" i="13"/>
  <c r="A33" i="13"/>
  <c r="F32" i="13"/>
  <c r="A32" i="13"/>
  <c r="X35" i="12"/>
  <c r="D35" i="13" s="1"/>
  <c r="W35" i="12"/>
  <c r="A35" i="12"/>
  <c r="W34" i="12"/>
  <c r="A34" i="12"/>
  <c r="V34" i="12" s="1"/>
  <c r="W33" i="12"/>
  <c r="A33" i="12"/>
  <c r="V33" i="12" s="1"/>
  <c r="X32" i="12"/>
  <c r="D32" i="13" s="1"/>
  <c r="W32" i="12"/>
  <c r="A32" i="12"/>
  <c r="I102" i="12" l="1"/>
  <c r="E102" i="13"/>
  <c r="H102" i="12"/>
  <c r="V102" i="12"/>
  <c r="H103" i="12"/>
  <c r="V103" i="12"/>
  <c r="I103" i="12"/>
  <c r="E101" i="13"/>
  <c r="E103" i="13"/>
  <c r="B102" i="12"/>
  <c r="B103" i="12"/>
  <c r="E32" i="13"/>
  <c r="E34" i="13"/>
  <c r="I34" i="12"/>
  <c r="I33" i="12"/>
  <c r="E35" i="13"/>
  <c r="B33" i="12"/>
  <c r="B34" i="12"/>
  <c r="E33" i="13"/>
  <c r="H33" i="12"/>
  <c r="H34" i="12"/>
  <c r="C101" i="13" l="1"/>
  <c r="C32" i="13"/>
  <c r="C35" i="13"/>
  <c r="F64" i="13" l="1"/>
  <c r="A64" i="13"/>
  <c r="W64" i="12"/>
  <c r="A64" i="12"/>
  <c r="P111" i="12"/>
  <c r="P110" i="12"/>
  <c r="P109" i="12"/>
  <c r="P88" i="12"/>
  <c r="E64" i="13" l="1"/>
  <c r="B64" i="12"/>
  <c r="H64" i="12"/>
  <c r="V64" i="12"/>
  <c r="I64" i="12"/>
  <c r="F91" i="13"/>
  <c r="A91" i="13"/>
  <c r="W91" i="12"/>
  <c r="A91" i="12"/>
  <c r="P19" i="12"/>
  <c r="E91" i="13" l="1"/>
  <c r="H91" i="12"/>
  <c r="V91" i="12"/>
  <c r="I91" i="12"/>
  <c r="B91" i="12"/>
  <c r="P99" i="12"/>
  <c r="P96" i="12"/>
  <c r="P93" i="12"/>
  <c r="P27" i="12"/>
  <c r="P28" i="12"/>
  <c r="P25" i="12"/>
  <c r="P216" i="12"/>
  <c r="P92" i="12" l="1"/>
  <c r="P208" i="12"/>
  <c r="P209" i="12" s="1"/>
  <c r="P199" i="12"/>
  <c r="P200" i="12" s="1"/>
  <c r="P219" i="12"/>
  <c r="P189" i="12"/>
  <c r="P195" i="12" s="1"/>
  <c r="P232" i="12"/>
  <c r="P106" i="12"/>
  <c r="P95" i="12" l="1"/>
  <c r="F97" i="13"/>
  <c r="A97" i="13"/>
  <c r="W97" i="12"/>
  <c r="A97" i="12"/>
  <c r="I97" i="12" s="1"/>
  <c r="E97" i="13" l="1"/>
  <c r="B97" i="12"/>
  <c r="H97" i="12"/>
  <c r="V97" i="12"/>
  <c r="P37" i="12"/>
  <c r="A30" i="13" l="1"/>
  <c r="W30" i="12"/>
  <c r="A30" i="12"/>
  <c r="P231" i="12"/>
  <c r="H30" i="12" l="1"/>
  <c r="V30" i="12"/>
  <c r="B30" i="12"/>
  <c r="I30" i="12"/>
  <c r="P233" i="12"/>
  <c r="F22" i="13"/>
  <c r="A22" i="13"/>
  <c r="W22" i="12"/>
  <c r="A22" i="12"/>
  <c r="P235" i="12"/>
  <c r="F235" i="13" s="1"/>
  <c r="A236" i="13"/>
  <c r="A235" i="13"/>
  <c r="F234" i="13"/>
  <c r="A234" i="13"/>
  <c r="A233" i="13"/>
  <c r="F232" i="13"/>
  <c r="A232" i="13"/>
  <c r="F231" i="13"/>
  <c r="A231" i="13"/>
  <c r="F230" i="13"/>
  <c r="A230" i="13"/>
  <c r="E230" i="13" s="1"/>
  <c r="W236" i="12"/>
  <c r="A236" i="12"/>
  <c r="B236" i="12" s="1"/>
  <c r="W235" i="12"/>
  <c r="A235" i="12"/>
  <c r="V235" i="12" s="1"/>
  <c r="W234" i="12"/>
  <c r="A234" i="12"/>
  <c r="H234" i="12" s="1"/>
  <c r="W233" i="12"/>
  <c r="A233" i="12"/>
  <c r="I233" i="12" s="1"/>
  <c r="W232" i="12"/>
  <c r="A232" i="12"/>
  <c r="V232" i="12" s="1"/>
  <c r="W231" i="12"/>
  <c r="A231" i="12"/>
  <c r="X230" i="12"/>
  <c r="W230" i="12"/>
  <c r="A230" i="12"/>
  <c r="V234" i="12" l="1"/>
  <c r="P236" i="12"/>
  <c r="F236" i="13" s="1"/>
  <c r="E236" i="13" s="1"/>
  <c r="F233" i="13"/>
  <c r="E233" i="13" s="1"/>
  <c r="B232" i="12"/>
  <c r="H232" i="12"/>
  <c r="B234" i="12"/>
  <c r="H236" i="12"/>
  <c r="I232" i="12"/>
  <c r="I236" i="12"/>
  <c r="H22" i="12"/>
  <c r="V22" i="12"/>
  <c r="I22" i="12"/>
  <c r="E22" i="13"/>
  <c r="V236" i="12"/>
  <c r="B22" i="12"/>
  <c r="E235" i="13"/>
  <c r="E234" i="13"/>
  <c r="E232" i="13"/>
  <c r="E231" i="13"/>
  <c r="I231" i="12"/>
  <c r="I235" i="12"/>
  <c r="V231" i="12"/>
  <c r="B233" i="12"/>
  <c r="H233" i="12"/>
  <c r="I234" i="12"/>
  <c r="D230" i="13"/>
  <c r="B231" i="12"/>
  <c r="H231" i="12"/>
  <c r="V233" i="12"/>
  <c r="B235" i="12"/>
  <c r="H235" i="12"/>
  <c r="C230" i="13" l="1"/>
  <c r="F193" i="13"/>
  <c r="A193" i="13"/>
  <c r="W193" i="12"/>
  <c r="A193" i="12"/>
  <c r="B193" i="12" s="1"/>
  <c r="F96" i="13"/>
  <c r="A96" i="13"/>
  <c r="F95" i="13"/>
  <c r="A95" i="13"/>
  <c r="W96" i="12"/>
  <c r="A96" i="12"/>
  <c r="H96" i="12" s="1"/>
  <c r="W95" i="12"/>
  <c r="A95" i="12"/>
  <c r="B95" i="12" s="1"/>
  <c r="H193" i="12" l="1"/>
  <c r="V193" i="12"/>
  <c r="I193" i="12"/>
  <c r="E193" i="13"/>
  <c r="B96" i="12"/>
  <c r="V96" i="12"/>
  <c r="H95" i="12"/>
  <c r="V95" i="12"/>
  <c r="E95" i="13"/>
  <c r="I95" i="12"/>
  <c r="I96" i="12"/>
  <c r="E96" i="13"/>
  <c r="P30" i="12" l="1"/>
  <c r="F30" i="13" s="1"/>
  <c r="E30" i="13" s="1"/>
  <c r="F221" i="13" l="1"/>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E210" i="13" s="1"/>
  <c r="F209" i="13"/>
  <c r="A209" i="13"/>
  <c r="F208" i="13"/>
  <c r="A208" i="13"/>
  <c r="F207" i="13"/>
  <c r="A207" i="13"/>
  <c r="F206" i="13"/>
  <c r="A206" i="13"/>
  <c r="F205" i="13"/>
  <c r="A205" i="13"/>
  <c r="F204" i="13"/>
  <c r="A204" i="13"/>
  <c r="F203" i="13"/>
  <c r="A203" i="13"/>
  <c r="F202" i="13"/>
  <c r="A202" i="13"/>
  <c r="F201" i="13"/>
  <c r="A201" i="13"/>
  <c r="F200" i="13"/>
  <c r="A200" i="13"/>
  <c r="W221" i="12"/>
  <c r="A221" i="12"/>
  <c r="V221" i="12" s="1"/>
  <c r="W220" i="12"/>
  <c r="A220" i="12"/>
  <c r="V220" i="12" s="1"/>
  <c r="W219" i="12"/>
  <c r="A219" i="12"/>
  <c r="V219" i="12" s="1"/>
  <c r="W218" i="12"/>
  <c r="A218" i="12"/>
  <c r="V218" i="12" s="1"/>
  <c r="W217" i="12"/>
  <c r="A217" i="12"/>
  <c r="H217" i="12" s="1"/>
  <c r="W216" i="12"/>
  <c r="A216" i="12"/>
  <c r="H216" i="12" s="1"/>
  <c r="W215" i="12"/>
  <c r="A215" i="12"/>
  <c r="V215" i="12" s="1"/>
  <c r="W214" i="12"/>
  <c r="A214" i="12"/>
  <c r="H214" i="12" s="1"/>
  <c r="W213" i="12"/>
  <c r="A213" i="12"/>
  <c r="V213" i="12" s="1"/>
  <c r="W212" i="12"/>
  <c r="A212" i="12"/>
  <c r="I212" i="12" s="1"/>
  <c r="W211" i="12"/>
  <c r="A211" i="12"/>
  <c r="X210" i="12"/>
  <c r="W210" i="12"/>
  <c r="A210" i="12"/>
  <c r="W209" i="12"/>
  <c r="A209" i="12"/>
  <c r="V209" i="12" s="1"/>
  <c r="W208" i="12"/>
  <c r="A208" i="12"/>
  <c r="W207" i="12"/>
  <c r="A207" i="12"/>
  <c r="W206" i="12"/>
  <c r="A206" i="12"/>
  <c r="B206" i="12" s="1"/>
  <c r="X205" i="12"/>
  <c r="D205" i="13" s="1"/>
  <c r="W205" i="12"/>
  <c r="A205" i="12"/>
  <c r="W204" i="12"/>
  <c r="A204" i="12"/>
  <c r="W203" i="12"/>
  <c r="A203" i="12"/>
  <c r="B203" i="12" s="1"/>
  <c r="W202" i="12"/>
  <c r="A202" i="12"/>
  <c r="W201" i="12"/>
  <c r="A201" i="12"/>
  <c r="W200" i="12"/>
  <c r="A200" i="12"/>
  <c r="B200" i="12" s="1"/>
  <c r="H215" i="12" l="1"/>
  <c r="I206" i="12"/>
  <c r="V206" i="12"/>
  <c r="H219" i="12"/>
  <c r="H220" i="12"/>
  <c r="I213" i="12"/>
  <c r="H218" i="12"/>
  <c r="V217" i="12"/>
  <c r="I203" i="12"/>
  <c r="V216" i="12"/>
  <c r="E201" i="13"/>
  <c r="E203" i="13"/>
  <c r="E206" i="13"/>
  <c r="E208" i="13"/>
  <c r="E212" i="13"/>
  <c r="E214" i="13"/>
  <c r="E216" i="13"/>
  <c r="E218" i="13"/>
  <c r="E220" i="13"/>
  <c r="V214" i="12"/>
  <c r="H221" i="12"/>
  <c r="D210" i="13"/>
  <c r="I207" i="12"/>
  <c r="V207" i="12"/>
  <c r="V203" i="12"/>
  <c r="H203" i="12"/>
  <c r="B204" i="12"/>
  <c r="H206" i="12"/>
  <c r="B208" i="12"/>
  <c r="I208" i="12"/>
  <c r="H208" i="12"/>
  <c r="C210" i="13"/>
  <c r="B207" i="12"/>
  <c r="H207" i="12"/>
  <c r="H200" i="12"/>
  <c r="V200" i="12"/>
  <c r="I204" i="12"/>
  <c r="V208" i="12"/>
  <c r="V204" i="12"/>
  <c r="H204" i="12"/>
  <c r="I200" i="12"/>
  <c r="B209" i="12"/>
  <c r="I209" i="12"/>
  <c r="H209" i="12"/>
  <c r="B212" i="12"/>
  <c r="H212" i="12"/>
  <c r="V212" i="12"/>
  <c r="B213" i="12"/>
  <c r="H213" i="12"/>
  <c r="H211" i="12"/>
  <c r="V211" i="12"/>
  <c r="B211" i="12"/>
  <c r="I211" i="12"/>
  <c r="B214" i="12"/>
  <c r="I214" i="12"/>
  <c r="B215" i="12"/>
  <c r="I215" i="12"/>
  <c r="B216" i="12"/>
  <c r="I216" i="12"/>
  <c r="B217" i="12"/>
  <c r="I217" i="12"/>
  <c r="B218" i="12"/>
  <c r="I218" i="12"/>
  <c r="B219" i="12"/>
  <c r="I219" i="12"/>
  <c r="B220" i="12"/>
  <c r="I220" i="12"/>
  <c r="B221" i="12"/>
  <c r="I221" i="12"/>
  <c r="E200" i="13"/>
  <c r="E202" i="13"/>
  <c r="E204" i="13"/>
  <c r="E205" i="13"/>
  <c r="E207" i="13"/>
  <c r="E209" i="13"/>
  <c r="E211" i="13"/>
  <c r="E213" i="13"/>
  <c r="E215" i="13"/>
  <c r="E217" i="13"/>
  <c r="E219" i="13"/>
  <c r="E221" i="13"/>
  <c r="C205" i="13" l="1"/>
  <c r="A93" i="13" l="1"/>
  <c r="A92" i="13"/>
  <c r="F90" i="13"/>
  <c r="A90" i="13"/>
  <c r="F89" i="13"/>
  <c r="A89" i="13"/>
  <c r="E89" i="13" s="1"/>
  <c r="W93" i="12"/>
  <c r="A93" i="12"/>
  <c r="H93" i="12" s="1"/>
  <c r="W92" i="12"/>
  <c r="A92" i="12"/>
  <c r="H92" i="12" s="1"/>
  <c r="W90" i="12"/>
  <c r="A90" i="12"/>
  <c r="H90" i="12" s="1"/>
  <c r="X89" i="12"/>
  <c r="W89" i="12"/>
  <c r="A89" i="12"/>
  <c r="V93" i="12" l="1"/>
  <c r="V92" i="12"/>
  <c r="F92" i="13"/>
  <c r="E92" i="13" s="1"/>
  <c r="V90" i="12"/>
  <c r="F93" i="13"/>
  <c r="E93" i="13" s="1"/>
  <c r="D89" i="13"/>
  <c r="E90" i="13"/>
  <c r="I90" i="12"/>
  <c r="I92" i="12"/>
  <c r="I93" i="12"/>
  <c r="B90" i="12"/>
  <c r="B92" i="12"/>
  <c r="B93" i="12"/>
  <c r="F106" i="13"/>
  <c r="A106" i="13"/>
  <c r="F105" i="13"/>
  <c r="A105" i="13"/>
  <c r="F104" i="13"/>
  <c r="A104" i="13"/>
  <c r="W106" i="12"/>
  <c r="A106" i="12"/>
  <c r="H106" i="12" s="1"/>
  <c r="W105" i="12"/>
  <c r="A105" i="12"/>
  <c r="V105" i="12" s="1"/>
  <c r="X104" i="12"/>
  <c r="W104" i="12"/>
  <c r="A104" i="12"/>
  <c r="C89" i="13" l="1"/>
  <c r="H105" i="12"/>
  <c r="V106" i="12"/>
  <c r="E105" i="13"/>
  <c r="D104" i="13"/>
  <c r="E106" i="13"/>
  <c r="I105" i="12"/>
  <c r="I106" i="12"/>
  <c r="E104" i="13"/>
  <c r="B105" i="12"/>
  <c r="B106" i="12"/>
  <c r="F75" i="13"/>
  <c r="A75" i="13"/>
  <c r="W75" i="12"/>
  <c r="A75" i="12"/>
  <c r="E75" i="13" l="1"/>
  <c r="C104" i="13"/>
  <c r="H75" i="12"/>
  <c r="V75" i="12"/>
  <c r="I75" i="12"/>
  <c r="B75" i="12"/>
  <c r="F85" i="13" l="1"/>
  <c r="A85" i="13"/>
  <c r="F84" i="13"/>
  <c r="A84" i="13"/>
  <c r="F83" i="13"/>
  <c r="A83" i="13"/>
  <c r="F82" i="13"/>
  <c r="A82" i="13"/>
  <c r="F81" i="13"/>
  <c r="A81" i="13"/>
  <c r="F80" i="13"/>
  <c r="A80" i="13"/>
  <c r="F79" i="13"/>
  <c r="A79" i="13"/>
  <c r="F78" i="13"/>
  <c r="A78" i="13"/>
  <c r="F77" i="13"/>
  <c r="A77" i="13"/>
  <c r="F76" i="13"/>
  <c r="A76" i="13"/>
  <c r="F74" i="13"/>
  <c r="A74" i="13"/>
  <c r="F73" i="13"/>
  <c r="A73" i="13"/>
  <c r="F72" i="13"/>
  <c r="A72" i="13"/>
  <c r="F71" i="13"/>
  <c r="A71" i="13"/>
  <c r="F70" i="13"/>
  <c r="A70" i="13"/>
  <c r="F69" i="13"/>
  <c r="A69" i="13"/>
  <c r="F68" i="13"/>
  <c r="A68" i="13"/>
  <c r="F67" i="13"/>
  <c r="A67" i="13"/>
  <c r="F66" i="13"/>
  <c r="A66" i="13"/>
  <c r="F65" i="13"/>
  <c r="A65" i="13"/>
  <c r="F63" i="13"/>
  <c r="A63" i="13"/>
  <c r="F62" i="13"/>
  <c r="A62" i="13"/>
  <c r="F61" i="13"/>
  <c r="A61" i="13"/>
  <c r="F60" i="13"/>
  <c r="A60" i="13"/>
  <c r="F59" i="13"/>
  <c r="A59" i="13"/>
  <c r="F58" i="13"/>
  <c r="A58" i="13"/>
  <c r="F57" i="13"/>
  <c r="A57" i="13"/>
  <c r="F56" i="13"/>
  <c r="A56" i="13"/>
  <c r="F55" i="13"/>
  <c r="A55" i="13"/>
  <c r="F54" i="13"/>
  <c r="A54" i="13"/>
  <c r="W85" i="12"/>
  <c r="A85" i="12"/>
  <c r="V85" i="12" s="1"/>
  <c r="X84" i="12"/>
  <c r="W84" i="12"/>
  <c r="A84" i="12"/>
  <c r="W83" i="12"/>
  <c r="A83" i="12"/>
  <c r="V83" i="12" s="1"/>
  <c r="W82" i="12"/>
  <c r="A82" i="12"/>
  <c r="H82" i="12" s="1"/>
  <c r="W81" i="12"/>
  <c r="A81" i="12"/>
  <c r="W80" i="12"/>
  <c r="A80" i="12"/>
  <c r="H80" i="12" s="1"/>
  <c r="W79" i="12"/>
  <c r="A79" i="12"/>
  <c r="V79" i="12" s="1"/>
  <c r="X78" i="12"/>
  <c r="W78" i="12"/>
  <c r="A78" i="12"/>
  <c r="W77" i="12"/>
  <c r="A77" i="12"/>
  <c r="V77" i="12" s="1"/>
  <c r="W76" i="12"/>
  <c r="A76" i="12"/>
  <c r="H76" i="12" s="1"/>
  <c r="W74" i="12"/>
  <c r="A74" i="12"/>
  <c r="I74" i="12" s="1"/>
  <c r="W73" i="12"/>
  <c r="A73" i="12"/>
  <c r="B73" i="12" s="1"/>
  <c r="X72" i="12"/>
  <c r="W72" i="12"/>
  <c r="A72" i="12"/>
  <c r="W71" i="12"/>
  <c r="A71" i="12"/>
  <c r="B71" i="12" s="1"/>
  <c r="W70" i="12"/>
  <c r="A70" i="12"/>
  <c r="I70" i="12" s="1"/>
  <c r="W69" i="12"/>
  <c r="A69" i="12"/>
  <c r="B69" i="12" s="1"/>
  <c r="W68" i="12"/>
  <c r="A68" i="12"/>
  <c r="H68" i="12" s="1"/>
  <c r="W67" i="12"/>
  <c r="A67" i="12"/>
  <c r="B67" i="12" s="1"/>
  <c r="W66" i="12"/>
  <c r="A66" i="12"/>
  <c r="H66" i="12" s="1"/>
  <c r="X65" i="12"/>
  <c r="D65" i="13" s="1"/>
  <c r="W65" i="12"/>
  <c r="A65" i="12"/>
  <c r="W63" i="12"/>
  <c r="A63" i="12"/>
  <c r="V63" i="12" s="1"/>
  <c r="W62" i="12"/>
  <c r="A62" i="12"/>
  <c r="V62" i="12" s="1"/>
  <c r="W61" i="12"/>
  <c r="A61" i="12"/>
  <c r="V61" i="12" s="1"/>
  <c r="W60" i="12"/>
  <c r="A60" i="12"/>
  <c r="V60" i="12" s="1"/>
  <c r="W59" i="12"/>
  <c r="A59" i="12"/>
  <c r="V59" i="12" s="1"/>
  <c r="W58" i="12"/>
  <c r="A58" i="12"/>
  <c r="V58" i="12" s="1"/>
  <c r="W57" i="12"/>
  <c r="A57" i="12"/>
  <c r="V57" i="12" s="1"/>
  <c r="W56" i="12"/>
  <c r="A56" i="12"/>
  <c r="V56" i="12" s="1"/>
  <c r="X55" i="12"/>
  <c r="D55" i="13" s="1"/>
  <c r="W55" i="12"/>
  <c r="A55" i="12"/>
  <c r="X54" i="12"/>
  <c r="D54" i="13" s="1"/>
  <c r="W54" i="12"/>
  <c r="A54" i="12"/>
  <c r="P40" i="12"/>
  <c r="H67" i="12" l="1"/>
  <c r="B68" i="12"/>
  <c r="B76" i="12"/>
  <c r="H85" i="12"/>
  <c r="V67" i="12"/>
  <c r="B74" i="12"/>
  <c r="H69" i="12"/>
  <c r="B70" i="12"/>
  <c r="H79" i="12"/>
  <c r="B80" i="12"/>
  <c r="B83" i="12"/>
  <c r="V69" i="12"/>
  <c r="I79" i="12"/>
  <c r="H83" i="12"/>
  <c r="B66" i="12"/>
  <c r="I83" i="12"/>
  <c r="V66" i="12"/>
  <c r="V68" i="12"/>
  <c r="H71" i="12"/>
  <c r="I76" i="12"/>
  <c r="B79" i="12"/>
  <c r="I80" i="12"/>
  <c r="I71" i="12"/>
  <c r="V76" i="12"/>
  <c r="V80" i="12"/>
  <c r="V71" i="12"/>
  <c r="D72" i="13"/>
  <c r="D78" i="13"/>
  <c r="D84" i="13"/>
  <c r="I56" i="12"/>
  <c r="I57" i="12"/>
  <c r="I58" i="12"/>
  <c r="I59" i="12"/>
  <c r="I60" i="12"/>
  <c r="I61" i="12"/>
  <c r="I62" i="12"/>
  <c r="I63" i="12"/>
  <c r="B56" i="12"/>
  <c r="B57" i="12"/>
  <c r="B58" i="12"/>
  <c r="B59" i="12"/>
  <c r="B60" i="12"/>
  <c r="B61" i="12"/>
  <c r="B62" i="12"/>
  <c r="B63" i="12"/>
  <c r="I81" i="12"/>
  <c r="H81" i="12"/>
  <c r="B81" i="12"/>
  <c r="V82" i="12"/>
  <c r="I82" i="12"/>
  <c r="V70" i="12"/>
  <c r="H70" i="12"/>
  <c r="V74" i="12"/>
  <c r="H74" i="12"/>
  <c r="V81" i="12"/>
  <c r="B82" i="12"/>
  <c r="H56" i="12"/>
  <c r="H57" i="12"/>
  <c r="H58" i="12"/>
  <c r="H59" i="12"/>
  <c r="H60" i="12"/>
  <c r="H61" i="12"/>
  <c r="H62" i="12"/>
  <c r="H63" i="12"/>
  <c r="I73" i="12"/>
  <c r="H73" i="12"/>
  <c r="V73" i="12"/>
  <c r="I77" i="12"/>
  <c r="H77" i="12"/>
  <c r="B77" i="12"/>
  <c r="I66" i="12"/>
  <c r="I67" i="12"/>
  <c r="I68" i="12"/>
  <c r="I69" i="12"/>
  <c r="B85" i="12"/>
  <c r="I85" i="12"/>
  <c r="E56" i="13"/>
  <c r="E58" i="13"/>
  <c r="E60" i="13"/>
  <c r="E62" i="13"/>
  <c r="E65" i="13"/>
  <c r="E67" i="13"/>
  <c r="E69" i="13"/>
  <c r="E71" i="13"/>
  <c r="E73" i="13"/>
  <c r="E76" i="13"/>
  <c r="E78" i="13"/>
  <c r="E80" i="13"/>
  <c r="E82" i="13"/>
  <c r="E85" i="13"/>
  <c r="E54" i="13"/>
  <c r="E55" i="13"/>
  <c r="E57" i="13"/>
  <c r="E59" i="13"/>
  <c r="E61" i="13"/>
  <c r="E63" i="13"/>
  <c r="E66" i="13"/>
  <c r="E68" i="13"/>
  <c r="E70" i="13"/>
  <c r="E72" i="13"/>
  <c r="E74" i="13"/>
  <c r="E77" i="13"/>
  <c r="E79" i="13"/>
  <c r="E81" i="13"/>
  <c r="E83" i="13"/>
  <c r="E84" i="13"/>
  <c r="C84" i="13" l="1"/>
  <c r="C78" i="13"/>
  <c r="C65" i="13"/>
  <c r="C55" i="13"/>
  <c r="C72" i="13"/>
  <c r="C54" i="13"/>
  <c r="F53" i="13"/>
  <c r="A53" i="13"/>
  <c r="F52" i="13"/>
  <c r="A52" i="13"/>
  <c r="F51" i="13"/>
  <c r="A51" i="13"/>
  <c r="F50" i="13"/>
  <c r="A50" i="13"/>
  <c r="F49" i="13"/>
  <c r="A49" i="13"/>
  <c r="F48" i="13"/>
  <c r="A48" i="13"/>
  <c r="F47" i="13"/>
  <c r="A47" i="13"/>
  <c r="W53" i="12"/>
  <c r="A53" i="12"/>
  <c r="I53" i="12" s="1"/>
  <c r="W52" i="12"/>
  <c r="A52" i="12"/>
  <c r="I52" i="12" s="1"/>
  <c r="W51" i="12"/>
  <c r="A51" i="12"/>
  <c r="W50" i="12"/>
  <c r="A50" i="12"/>
  <c r="I50" i="12" s="1"/>
  <c r="W49" i="12"/>
  <c r="A49" i="12"/>
  <c r="I49" i="12" s="1"/>
  <c r="W48" i="12"/>
  <c r="A48" i="12"/>
  <c r="I48" i="12" s="1"/>
  <c r="W47" i="12"/>
  <c r="A47" i="12"/>
  <c r="I47" i="12" s="1"/>
  <c r="F46" i="13"/>
  <c r="A46" i="13"/>
  <c r="F45" i="13"/>
  <c r="A45" i="13"/>
  <c r="F44" i="13"/>
  <c r="A44" i="13"/>
  <c r="F43" i="13"/>
  <c r="A43" i="13"/>
  <c r="E43" i="13" s="1"/>
  <c r="X46" i="12"/>
  <c r="W46" i="12"/>
  <c r="A46" i="12"/>
  <c r="W45" i="12"/>
  <c r="A45" i="12"/>
  <c r="V45" i="12" s="1"/>
  <c r="W44" i="12"/>
  <c r="A44" i="12"/>
  <c r="V44" i="12" s="1"/>
  <c r="X43" i="12"/>
  <c r="W43" i="12"/>
  <c r="A43" i="12"/>
  <c r="F41" i="13"/>
  <c r="A41" i="13"/>
  <c r="F40" i="13"/>
  <c r="A40" i="13"/>
  <c r="F39" i="13"/>
  <c r="A39" i="13"/>
  <c r="F38" i="13"/>
  <c r="A38" i="13"/>
  <c r="E38" i="13" s="1"/>
  <c r="W41" i="12"/>
  <c r="A41" i="12"/>
  <c r="V41" i="12" s="1"/>
  <c r="W40" i="12"/>
  <c r="A40" i="12"/>
  <c r="I40" i="12" s="1"/>
  <c r="W39" i="12"/>
  <c r="A39" i="12"/>
  <c r="V39" i="12" s="1"/>
  <c r="X38" i="12"/>
  <c r="D38" i="13" s="1"/>
  <c r="W38" i="12"/>
  <c r="A38" i="12"/>
  <c r="V52" i="12" l="1"/>
  <c r="B53" i="12"/>
  <c r="H49" i="12"/>
  <c r="V49" i="12"/>
  <c r="V48" i="12"/>
  <c r="B49" i="12"/>
  <c r="B48" i="12"/>
  <c r="B47" i="12"/>
  <c r="V50" i="12"/>
  <c r="B52" i="12"/>
  <c r="H53" i="12"/>
  <c r="B50" i="12"/>
  <c r="V53" i="12"/>
  <c r="H48" i="12"/>
  <c r="H52" i="12"/>
  <c r="H47" i="12"/>
  <c r="V47" i="12"/>
  <c r="H50" i="12"/>
  <c r="E52" i="13"/>
  <c r="E50" i="13"/>
  <c r="E49" i="13"/>
  <c r="E53" i="13"/>
  <c r="E48" i="13"/>
  <c r="H45" i="12"/>
  <c r="E47" i="13"/>
  <c r="E51" i="13"/>
  <c r="E46" i="13"/>
  <c r="D43" i="13"/>
  <c r="E45" i="13"/>
  <c r="E44" i="13"/>
  <c r="D46" i="13"/>
  <c r="C43" i="13"/>
  <c r="B44" i="12"/>
  <c r="I45" i="12"/>
  <c r="I44" i="12"/>
  <c r="H40" i="12"/>
  <c r="B45" i="12"/>
  <c r="B40" i="12"/>
  <c r="V40" i="12"/>
  <c r="H44" i="12"/>
  <c r="E39" i="13"/>
  <c r="C38" i="13"/>
  <c r="E40" i="13"/>
  <c r="I39" i="12"/>
  <c r="B39" i="12"/>
  <c r="B41" i="12"/>
  <c r="E41" i="13"/>
  <c r="I41" i="12"/>
  <c r="H39" i="12"/>
  <c r="H41" i="12"/>
  <c r="C46" i="13" l="1"/>
  <c r="P26" i="12" l="1"/>
  <c r="F21" i="13"/>
  <c r="A21" i="13"/>
  <c r="F20" i="13"/>
  <c r="A20" i="13"/>
  <c r="F19" i="13"/>
  <c r="A19" i="13"/>
  <c r="F18" i="13"/>
  <c r="A18" i="13"/>
  <c r="W21" i="12"/>
  <c r="A21" i="12"/>
  <c r="H21" i="12" s="1"/>
  <c r="W20" i="12"/>
  <c r="A20" i="12"/>
  <c r="I20" i="12" s="1"/>
  <c r="W19" i="12"/>
  <c r="A19" i="12"/>
  <c r="H19" i="12" s="1"/>
  <c r="W18" i="12"/>
  <c r="A18" i="12"/>
  <c r="I18" i="12" s="1"/>
  <c r="V21" i="12" l="1"/>
  <c r="V19" i="12"/>
  <c r="H18" i="12"/>
  <c r="B20" i="12"/>
  <c r="V18" i="12"/>
  <c r="H20" i="12"/>
  <c r="V20" i="12"/>
  <c r="B18" i="12"/>
  <c r="E18" i="13"/>
  <c r="E19" i="13"/>
  <c r="E21" i="13"/>
  <c r="E20" i="13"/>
  <c r="I19" i="12"/>
  <c r="I21" i="12"/>
  <c r="B19" i="12"/>
  <c r="B21" i="12"/>
  <c r="P239" i="12" l="1"/>
  <c r="P29" i="12" l="1"/>
  <c r="F98" i="13" l="1"/>
  <c r="A98" i="13"/>
  <c r="W98" i="12"/>
  <c r="A98" i="12"/>
  <c r="F88" i="13"/>
  <c r="A88" i="13"/>
  <c r="F87" i="13"/>
  <c r="A87" i="13"/>
  <c r="E87" i="13" s="1"/>
  <c r="W88" i="12"/>
  <c r="A88" i="12"/>
  <c r="X87" i="12"/>
  <c r="D87" i="13" s="1"/>
  <c r="W87" i="12"/>
  <c r="A87" i="12"/>
  <c r="F86" i="13"/>
  <c r="A86" i="13"/>
  <c r="X86" i="12"/>
  <c r="W86" i="12"/>
  <c r="A86" i="12"/>
  <c r="Q32" i="16"/>
  <c r="G38" i="16" s="1"/>
  <c r="E98" i="13" l="1"/>
  <c r="H98" i="12"/>
  <c r="V98" i="12"/>
  <c r="I98" i="12"/>
  <c r="B98" i="12"/>
  <c r="E88" i="13"/>
  <c r="D86" i="13"/>
  <c r="H88" i="12"/>
  <c r="V88" i="12"/>
  <c r="I88" i="12"/>
  <c r="B88" i="12"/>
  <c r="E86" i="13"/>
  <c r="F29" i="13"/>
  <c r="A29" i="13"/>
  <c r="W29" i="12"/>
  <c r="A29" i="12"/>
  <c r="I29" i="12" s="1"/>
  <c r="C87" i="13" l="1"/>
  <c r="C86" i="13"/>
  <c r="E29" i="13"/>
  <c r="B29" i="12"/>
  <c r="H29" i="12"/>
  <c r="V29" i="12"/>
  <c r="F188" i="13" l="1"/>
  <c r="A188" i="13"/>
  <c r="E188" i="13" s="1"/>
  <c r="X188" i="12"/>
  <c r="W188" i="12"/>
  <c r="A188" i="12"/>
  <c r="F199" i="13"/>
  <c r="A199" i="13"/>
  <c r="W199" i="12"/>
  <c r="A199" i="12"/>
  <c r="F198" i="13"/>
  <c r="A198" i="13"/>
  <c r="F197" i="13"/>
  <c r="A197" i="13"/>
  <c r="F196" i="13"/>
  <c r="A196" i="13"/>
  <c r="F195" i="13"/>
  <c r="A195" i="13"/>
  <c r="F194" i="13"/>
  <c r="A194" i="13"/>
  <c r="F192" i="13"/>
  <c r="A192" i="13"/>
  <c r="W198" i="12"/>
  <c r="A198" i="12"/>
  <c r="I198" i="12" s="1"/>
  <c r="W197" i="12"/>
  <c r="A197" i="12"/>
  <c r="W196" i="12"/>
  <c r="A196" i="12"/>
  <c r="I196" i="12" s="1"/>
  <c r="W195" i="12"/>
  <c r="A195" i="12"/>
  <c r="H195" i="12" s="1"/>
  <c r="X194" i="12"/>
  <c r="W194" i="12"/>
  <c r="A194" i="12"/>
  <c r="W192" i="12"/>
  <c r="A192" i="12"/>
  <c r="D188" i="13" l="1"/>
  <c r="E199" i="13"/>
  <c r="H199" i="12"/>
  <c r="V199" i="12"/>
  <c r="I199" i="12"/>
  <c r="B199" i="12"/>
  <c r="B198" i="12"/>
  <c r="H198" i="12"/>
  <c r="V198" i="12"/>
  <c r="B195" i="12"/>
  <c r="V196" i="12"/>
  <c r="E197" i="13"/>
  <c r="E192" i="13"/>
  <c r="E195" i="13"/>
  <c r="V192" i="12"/>
  <c r="H192" i="12"/>
  <c r="B192" i="12"/>
  <c r="I195" i="12"/>
  <c r="V195" i="12"/>
  <c r="D194" i="13"/>
  <c r="I197" i="12"/>
  <c r="V197" i="12"/>
  <c r="H197" i="12"/>
  <c r="B197" i="12"/>
  <c r="I192" i="12"/>
  <c r="H196" i="12"/>
  <c r="E194" i="13"/>
  <c r="E196" i="13"/>
  <c r="E198" i="13"/>
  <c r="B196" i="12"/>
  <c r="C188" i="13" l="1"/>
  <c r="C194" i="13"/>
  <c r="F241" i="13" l="1"/>
  <c r="A241" i="13"/>
  <c r="F240" i="13"/>
  <c r="A240" i="13"/>
  <c r="F239" i="13"/>
  <c r="A239" i="13"/>
  <c r="W241" i="12"/>
  <c r="A241" i="12"/>
  <c r="H241" i="12" s="1"/>
  <c r="W240" i="12"/>
  <c r="A240" i="12"/>
  <c r="W239" i="12"/>
  <c r="A239" i="12"/>
  <c r="V239" i="12" s="1"/>
  <c r="B239" i="12" l="1"/>
  <c r="V241" i="12"/>
  <c r="H239" i="12"/>
  <c r="B241" i="12"/>
  <c r="E239" i="13"/>
  <c r="I239" i="12"/>
  <c r="I241" i="12"/>
  <c r="E241" i="13"/>
  <c r="E240" i="13"/>
  <c r="H240" i="12"/>
  <c r="V240" i="12"/>
  <c r="I240" i="12"/>
  <c r="B240" i="12"/>
  <c r="F108" i="13" l="1"/>
  <c r="A108" i="13"/>
  <c r="W108" i="12"/>
  <c r="A108" i="12"/>
  <c r="I108" i="12" s="1"/>
  <c r="F111" i="13"/>
  <c r="A111" i="13"/>
  <c r="F110" i="13"/>
  <c r="A110" i="13"/>
  <c r="A109" i="13"/>
  <c r="F107" i="13"/>
  <c r="A107" i="13"/>
  <c r="F100" i="13"/>
  <c r="A100" i="13"/>
  <c r="F99" i="13"/>
  <c r="A99" i="13"/>
  <c r="F94" i="13"/>
  <c r="A94" i="13"/>
  <c r="W111" i="12"/>
  <c r="A111" i="12"/>
  <c r="V111" i="12" s="1"/>
  <c r="W110" i="12"/>
  <c r="A110" i="12"/>
  <c r="W109" i="12"/>
  <c r="A109" i="12"/>
  <c r="X107" i="12"/>
  <c r="W107" i="12"/>
  <c r="A107" i="12"/>
  <c r="X100" i="12"/>
  <c r="W100" i="12"/>
  <c r="A100" i="12"/>
  <c r="W99" i="12"/>
  <c r="A99" i="12"/>
  <c r="X94" i="12"/>
  <c r="W94" i="12"/>
  <c r="A94" i="12"/>
  <c r="F42" i="13"/>
  <c r="A42" i="13"/>
  <c r="X42" i="12"/>
  <c r="D42" i="13" s="1"/>
  <c r="W42" i="12"/>
  <c r="A42" i="12"/>
  <c r="F191" i="13"/>
  <c r="A191" i="13"/>
  <c r="F190" i="13"/>
  <c r="A190" i="13"/>
  <c r="W191" i="12"/>
  <c r="A191" i="12"/>
  <c r="B191" i="12" s="1"/>
  <c r="W190" i="12"/>
  <c r="A190" i="12"/>
  <c r="F26" i="13"/>
  <c r="A26" i="13"/>
  <c r="W26" i="12"/>
  <c r="A26" i="12"/>
  <c r="V26" i="12" s="1"/>
  <c r="F109" i="13" l="1"/>
  <c r="E109" i="13" s="1"/>
  <c r="B108" i="12"/>
  <c r="E108" i="13"/>
  <c r="H108" i="12"/>
  <c r="V108" i="12"/>
  <c r="I111" i="12"/>
  <c r="E111" i="13"/>
  <c r="D107" i="13"/>
  <c r="E107" i="13"/>
  <c r="C107" i="13"/>
  <c r="E100" i="13"/>
  <c r="D100" i="13"/>
  <c r="E94" i="13"/>
  <c r="E110" i="13"/>
  <c r="V109" i="12"/>
  <c r="V110" i="12"/>
  <c r="D94" i="13"/>
  <c r="B110" i="12"/>
  <c r="H110" i="12"/>
  <c r="B109" i="12"/>
  <c r="H109" i="12"/>
  <c r="I109" i="12"/>
  <c r="I110" i="12"/>
  <c r="B111" i="12"/>
  <c r="H111" i="12"/>
  <c r="E99" i="13"/>
  <c r="E42" i="13"/>
  <c r="H191" i="12"/>
  <c r="V191" i="12"/>
  <c r="E191" i="13"/>
  <c r="I191" i="12"/>
  <c r="E190" i="13"/>
  <c r="H190" i="12"/>
  <c r="V190" i="12"/>
  <c r="I190" i="12"/>
  <c r="B190" i="12"/>
  <c r="H26" i="12"/>
  <c r="E26" i="13"/>
  <c r="I26" i="12"/>
  <c r="B26" i="12"/>
  <c r="C100" i="13" l="1"/>
  <c r="C94" i="13"/>
  <c r="C42" i="13"/>
  <c r="F37" i="13" l="1"/>
  <c r="A37" i="13"/>
  <c r="F36" i="13"/>
  <c r="A36" i="13"/>
  <c r="F31" i="13"/>
  <c r="A31" i="13"/>
  <c r="W37" i="12"/>
  <c r="A37" i="12"/>
  <c r="W36" i="12"/>
  <c r="A36" i="12"/>
  <c r="H36" i="12" s="1"/>
  <c r="X31" i="12"/>
  <c r="W31" i="12"/>
  <c r="A31" i="12"/>
  <c r="I36" i="12" l="1"/>
  <c r="E36" i="13"/>
  <c r="D31" i="13"/>
  <c r="B37" i="12"/>
  <c r="I37" i="12"/>
  <c r="E31" i="13"/>
  <c r="B36" i="12"/>
  <c r="V37" i="12"/>
  <c r="E37" i="13"/>
  <c r="V36" i="12"/>
  <c r="H37" i="12"/>
  <c r="C31" i="13" l="1"/>
  <c r="F28" i="13" l="1"/>
  <c r="A28" i="13"/>
  <c r="F27" i="13"/>
  <c r="A27" i="13"/>
  <c r="F25" i="13"/>
  <c r="A25" i="13"/>
  <c r="W28" i="12"/>
  <c r="A28" i="12"/>
  <c r="W27" i="12"/>
  <c r="A27" i="12"/>
  <c r="V27" i="12" s="1"/>
  <c r="W25" i="12"/>
  <c r="A25" i="12"/>
  <c r="V25" i="12" s="1"/>
  <c r="F24" i="13"/>
  <c r="A24" i="13"/>
  <c r="X24" i="12"/>
  <c r="W24" i="12"/>
  <c r="A24" i="12"/>
  <c r="D24" i="13" l="1"/>
  <c r="E28" i="13"/>
  <c r="H28" i="12"/>
  <c r="V28" i="12"/>
  <c r="E27" i="13"/>
  <c r="E24" i="13"/>
  <c r="E25" i="13"/>
  <c r="B25" i="12"/>
  <c r="B27" i="12"/>
  <c r="I27" i="12"/>
  <c r="I28" i="12"/>
  <c r="B28" i="12"/>
  <c r="I25" i="12"/>
  <c r="H25" i="12"/>
  <c r="H27" i="12"/>
  <c r="C24" i="13" l="1"/>
  <c r="F237" i="13" l="1"/>
  <c r="A237" i="13"/>
  <c r="E237" i="13" s="1"/>
  <c r="F189" i="13"/>
  <c r="A189" i="13"/>
  <c r="F187" i="13"/>
  <c r="A187" i="13"/>
  <c r="E187" i="13" s="1"/>
  <c r="X237" i="12"/>
  <c r="W237" i="12"/>
  <c r="A237" i="12"/>
  <c r="W189" i="12"/>
  <c r="A189" i="12"/>
  <c r="V189" i="12" s="1"/>
  <c r="X187" i="12"/>
  <c r="W187" i="12"/>
  <c r="C187" i="13"/>
  <c r="A187" i="12"/>
  <c r="F238" i="13"/>
  <c r="A238" i="13"/>
  <c r="W238" i="12"/>
  <c r="A238" i="12"/>
  <c r="F17" i="13"/>
  <c r="A17" i="13"/>
  <c r="W17" i="12"/>
  <c r="A17" i="12"/>
  <c r="F16" i="13"/>
  <c r="A16" i="13"/>
  <c r="W16" i="12"/>
  <c r="A16" i="12"/>
  <c r="D187" i="13" l="1"/>
  <c r="D237" i="13"/>
  <c r="I189" i="12"/>
  <c r="B189" i="12"/>
  <c r="E189" i="13"/>
  <c r="H189" i="12"/>
  <c r="E238" i="13"/>
  <c r="H238" i="12"/>
  <c r="V238" i="12"/>
  <c r="I238" i="12"/>
  <c r="B238" i="12"/>
  <c r="E17" i="13"/>
  <c r="I17" i="12"/>
  <c r="H17" i="12"/>
  <c r="V17" i="12"/>
  <c r="B17" i="12"/>
  <c r="E16" i="13"/>
  <c r="H16" i="12"/>
  <c r="V16" i="12"/>
  <c r="I16" i="12"/>
  <c r="B16" i="12"/>
  <c r="C237" i="13" l="1"/>
  <c r="F23" i="13" l="1"/>
  <c r="A23" i="13"/>
  <c r="W23" i="12"/>
  <c r="A23" i="12"/>
  <c r="E23" i="13" l="1"/>
  <c r="F11" i="13" l="1"/>
  <c r="F13" i="13"/>
  <c r="E7" i="13" l="1"/>
  <c r="P9" i="12"/>
  <c r="F10" i="13"/>
  <c r="G10" i="13" s="1"/>
  <c r="H10" i="13" s="1"/>
  <c r="I10" i="13" s="1"/>
  <c r="J10" i="13" s="1"/>
  <c r="K10" i="13" s="1"/>
  <c r="L10" i="13" s="1"/>
  <c r="M10" i="13" s="1"/>
  <c r="N10" i="13" s="1"/>
  <c r="O10" i="13" s="1"/>
  <c r="U10" i="13"/>
  <c r="AC9" i="11"/>
  <c r="AC10" i="11" s="1"/>
  <c r="K250" i="12"/>
  <c r="X13" i="12"/>
  <c r="W13" i="12"/>
  <c r="N24" i="17"/>
  <c r="N26" i="17" s="1"/>
  <c r="Q224" i="16"/>
  <c r="Q223" i="16"/>
  <c r="P2" i="11"/>
  <c r="A20" i="11"/>
  <c r="A23" i="11" s="1"/>
  <c r="A26" i="11" s="1"/>
  <c r="Q10" i="12"/>
  <c r="Q11" i="17"/>
  <c r="M33" i="17" s="1"/>
  <c r="N8" i="11"/>
  <c r="O9" i="11"/>
  <c r="P9" i="11" s="1"/>
  <c r="O10" i="11"/>
  <c r="A13" i="11"/>
  <c r="K13" i="11" s="1"/>
  <c r="N11" i="11" s="1"/>
  <c r="D17" i="11"/>
  <c r="L56" i="11"/>
  <c r="K256" i="12"/>
  <c r="B247" i="13" s="1"/>
  <c r="A11" i="13"/>
  <c r="E11" i="13" s="1"/>
  <c r="X11" i="12"/>
  <c r="O11" i="12" s="1"/>
  <c r="D11" i="13" s="1"/>
  <c r="J12" i="12"/>
  <c r="A12" i="13" s="1"/>
  <c r="N12" i="12"/>
  <c r="A13" i="13"/>
  <c r="E13" i="13" s="1"/>
  <c r="K253" i="12"/>
  <c r="B244"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W38" i="16"/>
  <c r="U38" i="16"/>
  <c r="V38" i="16"/>
  <c r="U12" i="12" l="1"/>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9" i="11"/>
  <c r="O42" i="17"/>
  <c r="L11" i="11"/>
  <c r="A5" i="12"/>
  <c r="I11" i="12"/>
  <c r="G13" i="12"/>
  <c r="G14" i="12" s="1"/>
  <c r="G15" i="12" s="1"/>
  <c r="S13" i="12"/>
  <c r="E13" i="12"/>
  <c r="E14" i="12" s="1"/>
  <c r="E15" i="12" s="1"/>
  <c r="D13" i="12"/>
  <c r="N11" i="12"/>
  <c r="U11" i="12" s="1"/>
  <c r="Y11" i="12"/>
  <c r="C13" i="11"/>
  <c r="F13" i="11" s="1"/>
  <c r="M11" i="11"/>
  <c r="Q9" i="11"/>
  <c r="Q10" i="11" s="1"/>
  <c r="P10" i="11"/>
  <c r="C32" i="17"/>
  <c r="A33" i="17"/>
  <c r="C29" i="17"/>
  <c r="G56" i="16"/>
  <c r="C12" i="13"/>
  <c r="X227" i="16"/>
  <c r="S112" i="16"/>
  <c r="W227" i="16"/>
  <c r="S111" i="16"/>
  <c r="U227" i="16"/>
  <c r="S109" i="16"/>
  <c r="V227" i="16"/>
  <c r="S110" i="16"/>
  <c r="I42" i="17"/>
  <c r="D14" i="12" l="1"/>
  <c r="A32" i="11"/>
  <c r="V23" i="12"/>
  <c r="E16" i="12"/>
  <c r="F16" i="12"/>
  <c r="G16" i="12"/>
  <c r="C47" i="17"/>
  <c r="C46" i="17"/>
  <c r="A18" i="17"/>
  <c r="C40" i="17"/>
  <c r="C41" i="17"/>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5" i="12" l="1"/>
  <c r="S15" i="12" s="1"/>
  <c r="T15" i="12" s="1"/>
  <c r="U15" i="12" s="1"/>
  <c r="D15" i="12"/>
  <c r="Z14" i="12"/>
  <c r="S14" i="12" s="1"/>
  <c r="C14" i="12"/>
  <c r="Z226" i="12"/>
  <c r="Z225" i="12"/>
  <c r="Z224" i="12"/>
  <c r="Z223" i="12"/>
  <c r="Z222" i="12"/>
  <c r="S222" i="12" s="1"/>
  <c r="Z229" i="12"/>
  <c r="Z228" i="12"/>
  <c r="Z227" i="12"/>
  <c r="Z186" i="12"/>
  <c r="Z185" i="12"/>
  <c r="Z184" i="12"/>
  <c r="Z183" i="12"/>
  <c r="Z182" i="12"/>
  <c r="Z181" i="12"/>
  <c r="Z180" i="12"/>
  <c r="Z179" i="12"/>
  <c r="Z178" i="12"/>
  <c r="Z175" i="12"/>
  <c r="Z171" i="12"/>
  <c r="Z177" i="12"/>
  <c r="Z173" i="12"/>
  <c r="Z176" i="12"/>
  <c r="Z172" i="12"/>
  <c r="Z174" i="12"/>
  <c r="Z170" i="12"/>
  <c r="Z166" i="12"/>
  <c r="Z165" i="12"/>
  <c r="Z164" i="12"/>
  <c r="Z163" i="12"/>
  <c r="Z162" i="12"/>
  <c r="Z161" i="12"/>
  <c r="Z160" i="12"/>
  <c r="Z159" i="12"/>
  <c r="Z158" i="12"/>
  <c r="Z157" i="12"/>
  <c r="Z167" i="12"/>
  <c r="Z169" i="12"/>
  <c r="Z149" i="12"/>
  <c r="Z137" i="12"/>
  <c r="Z136" i="12"/>
  <c r="Z132" i="12"/>
  <c r="Z125" i="12"/>
  <c r="Z155" i="12"/>
  <c r="Z154" i="12"/>
  <c r="Z147" i="12"/>
  <c r="Z134" i="12"/>
  <c r="Z168" i="12"/>
  <c r="Z150" i="12"/>
  <c r="Z146" i="12"/>
  <c r="Z145" i="12"/>
  <c r="Z144" i="12"/>
  <c r="Z143" i="12"/>
  <c r="Z142" i="12"/>
  <c r="Z141" i="12"/>
  <c r="Z140" i="12"/>
  <c r="Z139" i="12"/>
  <c r="Z138" i="12"/>
  <c r="Z133" i="12"/>
  <c r="Z127" i="12"/>
  <c r="Z126" i="12"/>
  <c r="Z156" i="12"/>
  <c r="Z153" i="12"/>
  <c r="Z152" i="12"/>
  <c r="Z151" i="12"/>
  <c r="Z128" i="12"/>
  <c r="Z120" i="12"/>
  <c r="Z115" i="12"/>
  <c r="Z114" i="12"/>
  <c r="Z148" i="12"/>
  <c r="Z131" i="12"/>
  <c r="Z130" i="12"/>
  <c r="Z129" i="12"/>
  <c r="Z124" i="12"/>
  <c r="Z123" i="12"/>
  <c r="Z122" i="12"/>
  <c r="Z121" i="12"/>
  <c r="Z119" i="12"/>
  <c r="Z118" i="12"/>
  <c r="Z116" i="12"/>
  <c r="Z113" i="12"/>
  <c r="Z112" i="12"/>
  <c r="S112" i="12" s="1"/>
  <c r="Z135" i="12"/>
  <c r="Z117" i="12"/>
  <c r="Z103" i="12"/>
  <c r="Z102" i="12"/>
  <c r="Z101" i="12"/>
  <c r="S101" i="12" s="1"/>
  <c r="Z35" i="12"/>
  <c r="S35" i="12" s="1"/>
  <c r="Z34" i="12"/>
  <c r="Z33" i="12"/>
  <c r="Z32" i="12"/>
  <c r="S32" i="12" s="1"/>
  <c r="Z64" i="12"/>
  <c r="Z91" i="12"/>
  <c r="Z97" i="12"/>
  <c r="Z30" i="12"/>
  <c r="Z22" i="12"/>
  <c r="Z236" i="12"/>
  <c r="Z232" i="12"/>
  <c r="Z233" i="12"/>
  <c r="Z234" i="12"/>
  <c r="Z230" i="12"/>
  <c r="S230" i="12" s="1"/>
  <c r="Z235" i="12"/>
  <c r="Z231" i="12"/>
  <c r="Z193" i="12"/>
  <c r="Z96" i="12"/>
  <c r="Z95" i="12"/>
  <c r="Z210" i="12"/>
  <c r="S210" i="12" s="1"/>
  <c r="Z212" i="12"/>
  <c r="Z211" i="12"/>
  <c r="Z221" i="12"/>
  <c r="Z217" i="12"/>
  <c r="Z213" i="12"/>
  <c r="Z220" i="12"/>
  <c r="Z216" i="12"/>
  <c r="Z205" i="12"/>
  <c r="S205" i="12" s="1"/>
  <c r="Z204" i="12"/>
  <c r="Z203" i="12"/>
  <c r="Z202" i="12"/>
  <c r="Z201" i="12"/>
  <c r="Z219" i="12"/>
  <c r="Z215" i="12"/>
  <c r="Z218" i="12"/>
  <c r="Z206" i="12"/>
  <c r="Z207" i="12"/>
  <c r="Z208" i="12"/>
  <c r="Z200" i="12"/>
  <c r="Z214" i="12"/>
  <c r="Z209" i="12"/>
  <c r="Z92" i="12"/>
  <c r="Z90" i="12"/>
  <c r="Z89" i="12"/>
  <c r="S89" i="12" s="1"/>
  <c r="Z93" i="12"/>
  <c r="Z105" i="12"/>
  <c r="Z104" i="12"/>
  <c r="S104" i="12" s="1"/>
  <c r="Z106" i="12"/>
  <c r="Z75" i="12"/>
  <c r="Z81" i="12"/>
  <c r="Z77" i="12"/>
  <c r="Z85" i="12"/>
  <c r="Z82" i="12"/>
  <c r="Z78" i="12"/>
  <c r="S78" i="12" s="1"/>
  <c r="Z73" i="12"/>
  <c r="Z69" i="12"/>
  <c r="Z83" i="12"/>
  <c r="Z67" i="12"/>
  <c r="Z63" i="12"/>
  <c r="Z62" i="12"/>
  <c r="Z61" i="12"/>
  <c r="Z60" i="12"/>
  <c r="Z59" i="12"/>
  <c r="Z58" i="12"/>
  <c r="Z57" i="12"/>
  <c r="Z56" i="12"/>
  <c r="Z55" i="12"/>
  <c r="S55" i="12" s="1"/>
  <c r="Z54" i="12"/>
  <c r="S54" i="12" s="1"/>
  <c r="Z76" i="12"/>
  <c r="Z72" i="12"/>
  <c r="S72" i="12" s="1"/>
  <c r="Z71" i="12"/>
  <c r="Z66" i="12"/>
  <c r="Z74" i="12"/>
  <c r="Z70" i="12"/>
  <c r="Z65" i="12"/>
  <c r="S65" i="12" s="1"/>
  <c r="Z84" i="12"/>
  <c r="S84" i="12" s="1"/>
  <c r="Z80" i="12"/>
  <c r="Z79" i="12"/>
  <c r="Z68" i="12"/>
  <c r="Z48" i="12"/>
  <c r="Z52" i="12"/>
  <c r="Z50" i="12"/>
  <c r="Z51" i="12"/>
  <c r="Z53" i="12"/>
  <c r="Z49" i="12"/>
  <c r="Z47" i="12"/>
  <c r="Z45" i="12"/>
  <c r="Z43" i="12"/>
  <c r="S43" i="12" s="1"/>
  <c r="Z46" i="12"/>
  <c r="S46" i="12" s="1"/>
  <c r="Z44" i="12"/>
  <c r="Z40" i="12"/>
  <c r="Z38" i="12"/>
  <c r="S38" i="12" s="1"/>
  <c r="Z41" i="12"/>
  <c r="Z39" i="12"/>
  <c r="Z21" i="12"/>
  <c r="Z19" i="12"/>
  <c r="Z20" i="12"/>
  <c r="Z18" i="12"/>
  <c r="Z98" i="12"/>
  <c r="Z88" i="12"/>
  <c r="Z87" i="12"/>
  <c r="S87" i="12" s="1"/>
  <c r="Z86" i="12"/>
  <c r="S86" i="12" s="1"/>
  <c r="Z29" i="12"/>
  <c r="A35" i="11"/>
  <c r="Z188" i="12"/>
  <c r="S188" i="12" s="1"/>
  <c r="Z199" i="12"/>
  <c r="Z194" i="12"/>
  <c r="S194" i="12" s="1"/>
  <c r="Z196" i="12"/>
  <c r="Z192" i="12"/>
  <c r="Z198" i="12"/>
  <c r="Z197" i="12"/>
  <c r="Z195" i="12"/>
  <c r="Z240" i="12"/>
  <c r="Z241" i="12"/>
  <c r="Z239" i="12"/>
  <c r="Z108" i="12"/>
  <c r="Z110" i="12"/>
  <c r="Z109" i="12"/>
  <c r="Z99" i="12"/>
  <c r="Z100" i="12"/>
  <c r="S100" i="12" s="1"/>
  <c r="Z111" i="12"/>
  <c r="Z107" i="12"/>
  <c r="S107" i="12" s="1"/>
  <c r="Z94" i="12"/>
  <c r="S94" i="12" s="1"/>
  <c r="Z42" i="12"/>
  <c r="S42" i="12" s="1"/>
  <c r="Z190" i="12"/>
  <c r="Z191" i="12"/>
  <c r="Z26" i="12"/>
  <c r="Z36" i="12"/>
  <c r="Z37" i="12"/>
  <c r="Z31" i="12"/>
  <c r="S31" i="12" s="1"/>
  <c r="V24" i="12"/>
  <c r="Z28" i="12"/>
  <c r="Z25" i="12"/>
  <c r="Z27" i="12"/>
  <c r="Z24" i="12"/>
  <c r="S24" i="12" s="1"/>
  <c r="Z187" i="12"/>
  <c r="S187" i="12" s="1"/>
  <c r="Z237" i="12"/>
  <c r="S237" i="12" s="1"/>
  <c r="Z189" i="12"/>
  <c r="Z238" i="12"/>
  <c r="Z17" i="12"/>
  <c r="G17" i="12"/>
  <c r="G18" i="12" s="1"/>
  <c r="G19" i="12" s="1"/>
  <c r="G20" i="12" s="1"/>
  <c r="G21" i="12" s="1"/>
  <c r="G22" i="12" s="1"/>
  <c r="F17" i="12"/>
  <c r="F18" i="12" s="1"/>
  <c r="F19" i="12" s="1"/>
  <c r="F20" i="12" s="1"/>
  <c r="F21" i="12" s="1"/>
  <c r="F22" i="12" s="1"/>
  <c r="E17" i="12"/>
  <c r="E18" i="12" s="1"/>
  <c r="E19" i="12" s="1"/>
  <c r="E20" i="12" s="1"/>
  <c r="E21" i="12" s="1"/>
  <c r="E22" i="12" s="1"/>
  <c r="Z16" i="12"/>
  <c r="Z23"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D16" i="12" l="1"/>
  <c r="D17" i="12" s="1"/>
  <c r="D18" i="12" s="1"/>
  <c r="D19" i="12" s="1"/>
  <c r="D20" i="12" s="1"/>
  <c r="D21" i="12" s="1"/>
  <c r="D22" i="12" s="1"/>
  <c r="K14" i="12"/>
  <c r="B14" i="13" s="1"/>
  <c r="C15" i="12"/>
  <c r="K15" i="12" s="1"/>
  <c r="B15" i="13" s="1"/>
  <c r="A38" i="11"/>
  <c r="C25" i="17"/>
  <c r="A26" i="17"/>
  <c r="C26" i="17" s="1"/>
  <c r="C6" i="17"/>
  <c r="A7" i="17"/>
  <c r="C7" i="17" s="1"/>
  <c r="Q20" i="17" s="1"/>
  <c r="C16" i="12" l="1"/>
  <c r="C17" i="12" s="1"/>
  <c r="A41" i="11"/>
  <c r="A44" i="11" s="1"/>
  <c r="P18" i="17"/>
  <c r="R26" i="17"/>
  <c r="P22" i="17"/>
  <c r="P19" i="17"/>
  <c r="P21" i="17"/>
  <c r="R22" i="17"/>
  <c r="Q26" i="17"/>
  <c r="Q22" i="17"/>
  <c r="R19" i="17"/>
  <c r="P26" i="17"/>
  <c r="R21" i="17"/>
  <c r="R18" i="17"/>
  <c r="Q18" i="17"/>
  <c r="P20" i="17"/>
  <c r="R20" i="17"/>
  <c r="Q21" i="17"/>
  <c r="Q19" i="17"/>
  <c r="K16" i="12" l="1"/>
  <c r="B16" i="13" s="1"/>
  <c r="C18" i="12"/>
  <c r="K17" i="12"/>
  <c r="B17" i="13" s="1"/>
  <c r="A47" i="11"/>
  <c r="V31" i="12"/>
  <c r="O26" i="17"/>
  <c r="O27" i="17" s="1"/>
  <c r="V32" i="12" l="1"/>
  <c r="V35" i="12" s="1"/>
  <c r="C19" i="12"/>
  <c r="K18" i="12"/>
  <c r="B18" i="13" s="1"/>
  <c r="V38" i="12"/>
  <c r="A50" i="11"/>
  <c r="V27" i="17"/>
  <c r="T16" i="17" s="1"/>
  <c r="K19" i="12" l="1"/>
  <c r="B19" i="13" s="1"/>
  <c r="C20" i="12"/>
  <c r="A53" i="11"/>
  <c r="C21" i="12" l="1"/>
  <c r="K20" i="12"/>
  <c r="B20" i="13" s="1"/>
  <c r="C22" i="12" l="1"/>
  <c r="K22" i="12" s="1"/>
  <c r="B22" i="13" s="1"/>
  <c r="K21" i="12"/>
  <c r="B21" i="13" s="1"/>
  <c r="V42" i="12"/>
  <c r="F23" i="12"/>
  <c r="D23" i="12"/>
  <c r="E23" i="12"/>
  <c r="V43" i="12" l="1"/>
  <c r="E24" i="12"/>
  <c r="D24" i="12"/>
  <c r="F24" i="12"/>
  <c r="V46" i="12" l="1"/>
  <c r="V51" i="12" s="1"/>
  <c r="V54" i="12" s="1"/>
  <c r="F25" i="12"/>
  <c r="E25" i="12"/>
  <c r="V55" i="12" l="1"/>
  <c r="V65" i="12" s="1"/>
  <c r="V72" i="12" s="1"/>
  <c r="V78" i="12" s="1"/>
  <c r="V84" i="12" s="1"/>
  <c r="D25" i="12"/>
  <c r="G23" i="12"/>
  <c r="V86" i="12" l="1"/>
  <c r="E26" i="12"/>
  <c r="F26" i="12"/>
  <c r="F31" i="12"/>
  <c r="G24" i="12"/>
  <c r="G25" i="12" s="1"/>
  <c r="V87" i="12" l="1"/>
  <c r="F32" i="12"/>
  <c r="F33" i="12" s="1"/>
  <c r="F34" i="12" s="1"/>
  <c r="F35" i="12" s="1"/>
  <c r="F36" i="12" s="1"/>
  <c r="F37" i="12" s="1"/>
  <c r="F38" i="12" s="1"/>
  <c r="F39" i="12" s="1"/>
  <c r="F40" i="12" s="1"/>
  <c r="F41" i="12" s="1"/>
  <c r="V89" i="12"/>
  <c r="F27" i="12"/>
  <c r="F28" i="12" s="1"/>
  <c r="F29" i="12" s="1"/>
  <c r="F30" i="12" s="1"/>
  <c r="E27" i="12"/>
  <c r="E28" i="12" s="1"/>
  <c r="E29" i="12" s="1"/>
  <c r="E30" i="12" s="1"/>
  <c r="E31" i="12" s="1"/>
  <c r="E32" i="12" s="1"/>
  <c r="E33" i="12" l="1"/>
  <c r="E42" i="12"/>
  <c r="E43" i="12" s="1"/>
  <c r="E44" i="12" s="1"/>
  <c r="E45" i="12" s="1"/>
  <c r="E46" i="12" s="1"/>
  <c r="E47" i="12" s="1"/>
  <c r="E48" i="12" s="1"/>
  <c r="E49" i="12" s="1"/>
  <c r="E50" i="12" s="1"/>
  <c r="E51" i="12" s="1"/>
  <c r="E52" i="12" s="1"/>
  <c r="E53" i="12" s="1"/>
  <c r="F42" i="12"/>
  <c r="F43" i="12" s="1"/>
  <c r="F44" i="12" s="1"/>
  <c r="F45" i="12" s="1"/>
  <c r="F46" i="12" s="1"/>
  <c r="F47" i="12" s="1"/>
  <c r="F48" i="12" s="1"/>
  <c r="F49" i="12" s="1"/>
  <c r="F50" i="12" s="1"/>
  <c r="F51" i="12" s="1"/>
  <c r="F52" i="12" s="1"/>
  <c r="F53" i="12" s="1"/>
  <c r="V94" i="12"/>
  <c r="V99" i="12"/>
  <c r="G26" i="12"/>
  <c r="G31" i="12"/>
  <c r="E34" i="12" l="1"/>
  <c r="G32" i="12"/>
  <c r="G33" i="12" s="1"/>
  <c r="G34" i="12" s="1"/>
  <c r="G35" i="12" s="1"/>
  <c r="G36" i="12" s="1"/>
  <c r="G37" i="12" s="1"/>
  <c r="G38" i="12" s="1"/>
  <c r="G39" i="12" s="1"/>
  <c r="G40" i="12" s="1"/>
  <c r="G41" i="12" s="1"/>
  <c r="F54" i="12"/>
  <c r="F55" i="12" s="1"/>
  <c r="F56" i="12" s="1"/>
  <c r="F57" i="12" s="1"/>
  <c r="F58" i="12" s="1"/>
  <c r="F59" i="12" s="1"/>
  <c r="F60" i="12" s="1"/>
  <c r="F61" i="12" s="1"/>
  <c r="F62" i="12" s="1"/>
  <c r="F63" i="12" s="1"/>
  <c r="E54" i="12"/>
  <c r="E55" i="12" s="1"/>
  <c r="E56" i="12" s="1"/>
  <c r="E57" i="12" s="1"/>
  <c r="E58" i="12" s="1"/>
  <c r="E59" i="12" s="1"/>
  <c r="E60" i="12" s="1"/>
  <c r="E61" i="12" s="1"/>
  <c r="E62" i="12" s="1"/>
  <c r="E63" i="12" s="1"/>
  <c r="F86" i="12"/>
  <c r="F87" i="12" s="1"/>
  <c r="F88" i="12" s="1"/>
  <c r="E86" i="12"/>
  <c r="E87" i="12" s="1"/>
  <c r="E88" i="12" s="1"/>
  <c r="V100" i="12"/>
  <c r="V101" i="12" s="1"/>
  <c r="G27" i="12"/>
  <c r="G28" i="12" s="1"/>
  <c r="G29" i="12" s="1"/>
  <c r="G30" i="12" s="1"/>
  <c r="D26" i="12"/>
  <c r="E35" i="12" l="1"/>
  <c r="E64" i="12"/>
  <c r="E65" i="12" s="1"/>
  <c r="E66" i="12" s="1"/>
  <c r="E67" i="12" s="1"/>
  <c r="E68" i="12" s="1"/>
  <c r="E69" i="12" s="1"/>
  <c r="E70" i="12" s="1"/>
  <c r="E71" i="12" s="1"/>
  <c r="E72" i="12" s="1"/>
  <c r="E73" i="12" s="1"/>
  <c r="E74" i="12" s="1"/>
  <c r="E75" i="12" s="1"/>
  <c r="E76" i="12" s="1"/>
  <c r="E77" i="12" s="1"/>
  <c r="E78" i="12" s="1"/>
  <c r="E79" i="12" s="1"/>
  <c r="E80" i="12" s="1"/>
  <c r="E81" i="12" s="1"/>
  <c r="E82" i="12" s="1"/>
  <c r="E83" i="12" s="1"/>
  <c r="E84" i="12" s="1"/>
  <c r="E85" i="12" s="1"/>
  <c r="F65" i="12"/>
  <c r="F66" i="12" s="1"/>
  <c r="F67" i="12" s="1"/>
  <c r="F68" i="12" s="1"/>
  <c r="F69" i="12" s="1"/>
  <c r="F70" i="12" s="1"/>
  <c r="F71" i="12" s="1"/>
  <c r="F72" i="12" s="1"/>
  <c r="F73" i="12" s="1"/>
  <c r="F74" i="12" s="1"/>
  <c r="F75" i="12" s="1"/>
  <c r="F76" i="12" s="1"/>
  <c r="F77" i="12" s="1"/>
  <c r="F78" i="12" s="1"/>
  <c r="F79" i="12" s="1"/>
  <c r="F80" i="12" s="1"/>
  <c r="F81" i="12" s="1"/>
  <c r="F82" i="12" s="1"/>
  <c r="F83" i="12" s="1"/>
  <c r="F84" i="12" s="1"/>
  <c r="F85" i="12" s="1"/>
  <c r="F64" i="12"/>
  <c r="G42" i="12"/>
  <c r="G43" i="12" s="1"/>
  <c r="G44" i="12" s="1"/>
  <c r="G45" i="12" s="1"/>
  <c r="G46" i="12" s="1"/>
  <c r="G47" i="12" s="1"/>
  <c r="G48" i="12" s="1"/>
  <c r="G49" i="12" s="1"/>
  <c r="G50" i="12" s="1"/>
  <c r="G51" i="12" s="1"/>
  <c r="G52" i="12" s="1"/>
  <c r="G53" i="12" s="1"/>
  <c r="F107" i="12"/>
  <c r="E36" i="12" l="1"/>
  <c r="E37" i="12" s="1"/>
  <c r="E38" i="12" s="1"/>
  <c r="E39" i="12" s="1"/>
  <c r="G54" i="12"/>
  <c r="G55" i="12" s="1"/>
  <c r="G56" i="12" s="1"/>
  <c r="G57" i="12" s="1"/>
  <c r="G58" i="12" s="1"/>
  <c r="G59" i="12" s="1"/>
  <c r="G60" i="12" s="1"/>
  <c r="G61" i="12" s="1"/>
  <c r="G62" i="12" s="1"/>
  <c r="G63" i="12" s="1"/>
  <c r="V104" i="12"/>
  <c r="G86" i="12"/>
  <c r="G87" i="12" s="1"/>
  <c r="G88" i="12" s="1"/>
  <c r="F108" i="12"/>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128" i="12" s="1"/>
  <c r="F129" i="12" s="1"/>
  <c r="F130" i="12" s="1"/>
  <c r="F131" i="12" s="1"/>
  <c r="F132" i="12" s="1"/>
  <c r="F133" i="12" s="1"/>
  <c r="F134" i="12" s="1"/>
  <c r="F135" i="12" s="1"/>
  <c r="F136" i="12" s="1"/>
  <c r="F137" i="12" s="1"/>
  <c r="F138" i="12" s="1"/>
  <c r="F139" i="12" s="1"/>
  <c r="F140" i="12" s="1"/>
  <c r="F141" i="12" s="1"/>
  <c r="F142" i="12" s="1"/>
  <c r="F143" i="12" s="1"/>
  <c r="F144" i="12" s="1"/>
  <c r="F145" i="12" s="1"/>
  <c r="F146" i="12" s="1"/>
  <c r="F147" i="12" s="1"/>
  <c r="F148" i="12" s="1"/>
  <c r="F149" i="12" s="1"/>
  <c r="F150" i="12" s="1"/>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D27" i="12"/>
  <c r="X23" i="12"/>
  <c r="D28" i="12" l="1"/>
  <c r="D29" i="12" s="1"/>
  <c r="D30" i="12" s="1"/>
  <c r="V107" i="12"/>
  <c r="V112" i="12" s="1"/>
  <c r="F171" i="12"/>
  <c r="F172" i="12" s="1"/>
  <c r="F173" i="12" s="1"/>
  <c r="F174" i="12" s="1"/>
  <c r="F175" i="12" s="1"/>
  <c r="F176" i="12" s="1"/>
  <c r="F177" i="12" s="1"/>
  <c r="F178" i="12" s="1"/>
  <c r="F179" i="12" s="1"/>
  <c r="F180" i="12" s="1"/>
  <c r="F181" i="12" s="1"/>
  <c r="F182" i="12" s="1"/>
  <c r="F183" i="12" s="1"/>
  <c r="F184" i="12" s="1"/>
  <c r="F185" i="12" s="1"/>
  <c r="F186" i="12" s="1"/>
  <c r="H35" i="12"/>
  <c r="H32" i="12"/>
  <c r="E40" i="12"/>
  <c r="E41" i="12" s="1"/>
  <c r="G65" i="12"/>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64" i="12"/>
  <c r="F89" i="12"/>
  <c r="F94" i="12"/>
  <c r="F95" i="12" s="1"/>
  <c r="F96" i="12" s="1"/>
  <c r="F97" i="12" s="1"/>
  <c r="G107" i="12"/>
  <c r="F90" i="12" l="1"/>
  <c r="F91" i="12" s="1"/>
  <c r="F92" i="12" s="1"/>
  <c r="F93" i="12" s="1"/>
  <c r="F98" i="12"/>
  <c r="G108" i="12"/>
  <c r="G109" i="12" s="1"/>
  <c r="G110" i="12" s="1"/>
  <c r="G111" i="12" s="1"/>
  <c r="G112" i="12" s="1"/>
  <c r="G113" i="12" s="1"/>
  <c r="G114" i="12" s="1"/>
  <c r="G115" i="12" s="1"/>
  <c r="G116" i="12" s="1"/>
  <c r="G117" i="12" s="1"/>
  <c r="G118" i="12" s="1"/>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S23" i="12"/>
  <c r="C23" i="13"/>
  <c r="D23" i="13"/>
  <c r="G171" i="12" l="1"/>
  <c r="G172" i="12" s="1"/>
  <c r="G173" i="12" s="1"/>
  <c r="G174" i="12" s="1"/>
  <c r="G175" i="12" s="1"/>
  <c r="G176" i="12" s="1"/>
  <c r="G177" i="12" s="1"/>
  <c r="G178" i="12" s="1"/>
  <c r="G179" i="12" s="1"/>
  <c r="G180" i="12" s="1"/>
  <c r="G181" i="12" s="1"/>
  <c r="G182" i="12" s="1"/>
  <c r="G183" i="12" s="1"/>
  <c r="G184" i="12" s="1"/>
  <c r="G185" i="12" s="1"/>
  <c r="G186" i="12" s="1"/>
  <c r="F99" i="12"/>
  <c r="F100" i="12" s="1"/>
  <c r="F101" i="12" s="1"/>
  <c r="F102" i="12" s="1"/>
  <c r="F103" i="12" s="1"/>
  <c r="E89" i="12"/>
  <c r="G89" i="12"/>
  <c r="G90" i="12" s="1"/>
  <c r="F104" i="12"/>
  <c r="F105" i="12" s="1"/>
  <c r="F106" i="12" s="1"/>
  <c r="G94" i="12"/>
  <c r="G95" i="12" s="1"/>
  <c r="G96" i="12" s="1"/>
  <c r="G97" i="12" s="1"/>
  <c r="E90" i="12" l="1"/>
  <c r="E91" i="12" s="1"/>
  <c r="E92" i="12" s="1"/>
  <c r="E93" i="12" s="1"/>
  <c r="G91" i="12"/>
  <c r="G92" i="12" s="1"/>
  <c r="G93" i="12" s="1"/>
  <c r="G98" i="12"/>
  <c r="D31" i="12"/>
  <c r="D32" i="12" s="1"/>
  <c r="D33" i="12" s="1"/>
  <c r="D34" i="12" s="1"/>
  <c r="D35" i="12" s="1"/>
  <c r="G99" i="12" l="1"/>
  <c r="G100" i="12" s="1"/>
  <c r="G101" i="12" s="1"/>
  <c r="G102" i="12" s="1"/>
  <c r="G103" i="12" s="1"/>
  <c r="E94" i="12"/>
  <c r="G104" i="12"/>
  <c r="G105" i="12" s="1"/>
  <c r="G106" i="12" s="1"/>
  <c r="E95" i="12" l="1"/>
  <c r="E96" i="12" s="1"/>
  <c r="E97" i="12" s="1"/>
  <c r="E98" i="12" s="1"/>
  <c r="F187" i="12"/>
  <c r="E187" i="12"/>
  <c r="E188" i="12" s="1"/>
  <c r="E189" i="12" s="1"/>
  <c r="E190" i="12" s="1"/>
  <c r="E191" i="12" s="1"/>
  <c r="E192" i="12" s="1"/>
  <c r="G187" i="12"/>
  <c r="D36" i="12"/>
  <c r="D37" i="12" s="1"/>
  <c r="D38" i="12" s="1"/>
  <c r="F188" i="12"/>
  <c r="F189" i="12" s="1"/>
  <c r="F190" i="12" s="1"/>
  <c r="F191" i="12" s="1"/>
  <c r="F192" i="12" s="1"/>
  <c r="G188" i="12"/>
  <c r="G189" i="12" s="1"/>
  <c r="G190" i="12" s="1"/>
  <c r="G191" i="12" s="1"/>
  <c r="G192" i="12" s="1"/>
  <c r="F237" i="12"/>
  <c r="F238" i="12" s="1"/>
  <c r="F239" i="12" s="1"/>
  <c r="F240" i="12" s="1"/>
  <c r="F241" i="12" s="1"/>
  <c r="E237" i="12"/>
  <c r="E238" i="12" s="1"/>
  <c r="E239" i="12" s="1"/>
  <c r="E240" i="12" s="1"/>
  <c r="E241" i="12" s="1"/>
  <c r="G237" i="12"/>
  <c r="G238" i="12" s="1"/>
  <c r="G239" i="12" s="1"/>
  <c r="G240" i="12" s="1"/>
  <c r="G241" i="12" s="1"/>
  <c r="E99" i="12" l="1"/>
  <c r="E100" i="12" s="1"/>
  <c r="E101" i="12" s="1"/>
  <c r="E102" i="12" s="1"/>
  <c r="E103" i="12" s="1"/>
  <c r="F194" i="12"/>
  <c r="F195" i="12" s="1"/>
  <c r="F196" i="12" s="1"/>
  <c r="F197" i="12" s="1"/>
  <c r="F198" i="12" s="1"/>
  <c r="F199" i="12" s="1"/>
  <c r="F200" i="12" s="1"/>
  <c r="F201" i="12" s="1"/>
  <c r="F202" i="12" s="1"/>
  <c r="F203" i="12" s="1"/>
  <c r="F204" i="12" s="1"/>
  <c r="F205" i="12" s="1"/>
  <c r="F206" i="12" s="1"/>
  <c r="F207" i="12" s="1"/>
  <c r="F208" i="12" s="1"/>
  <c r="F209" i="12" s="1"/>
  <c r="F210" i="12" s="1"/>
  <c r="F211" i="12" s="1"/>
  <c r="F212" i="12" s="1"/>
  <c r="F213" i="12" s="1"/>
  <c r="F214" i="12" s="1"/>
  <c r="F215" i="12" s="1"/>
  <c r="F216" i="12" s="1"/>
  <c r="F217" i="12" s="1"/>
  <c r="F218" i="12" s="1"/>
  <c r="F219" i="12" s="1"/>
  <c r="F220" i="12" s="1"/>
  <c r="F221" i="12" s="1"/>
  <c r="F193" i="12"/>
  <c r="G194" i="12"/>
  <c r="G195" i="12" s="1"/>
  <c r="G196" i="12" s="1"/>
  <c r="G197" i="12" s="1"/>
  <c r="G198" i="12" s="1"/>
  <c r="G199" i="12" s="1"/>
  <c r="G200" i="12" s="1"/>
  <c r="G201" i="12" s="1"/>
  <c r="G202" i="12" s="1"/>
  <c r="G203" i="12" s="1"/>
  <c r="G204" i="12" s="1"/>
  <c r="G205" i="12" s="1"/>
  <c r="G206" i="12" s="1"/>
  <c r="G207" i="12" s="1"/>
  <c r="G208" i="12" s="1"/>
  <c r="G209" i="12" s="1"/>
  <c r="G210" i="12" s="1"/>
  <c r="G211" i="12" s="1"/>
  <c r="G212" i="12" s="1"/>
  <c r="G213" i="12" s="1"/>
  <c r="G214" i="12" s="1"/>
  <c r="G215" i="12" s="1"/>
  <c r="G216" i="12" s="1"/>
  <c r="G217" i="12" s="1"/>
  <c r="G218" i="12" s="1"/>
  <c r="G219" i="12" s="1"/>
  <c r="G220" i="12" s="1"/>
  <c r="G221" i="12" s="1"/>
  <c r="G193" i="12"/>
  <c r="E193" i="12"/>
  <c r="E194" i="12" s="1"/>
  <c r="E195" i="12" s="1"/>
  <c r="E196" i="12" s="1"/>
  <c r="E197" i="12" s="1"/>
  <c r="E198" i="12" s="1"/>
  <c r="E199" i="12" s="1"/>
  <c r="E200" i="12" s="1"/>
  <c r="E201" i="12" s="1"/>
  <c r="E202" i="12" s="1"/>
  <c r="E203" i="12" s="1"/>
  <c r="E204" i="12" s="1"/>
  <c r="E205" i="12" s="1"/>
  <c r="E206" i="12" s="1"/>
  <c r="E207" i="12" s="1"/>
  <c r="E208" i="12" s="1"/>
  <c r="E209" i="12" s="1"/>
  <c r="E210" i="12" s="1"/>
  <c r="E211" i="12" s="1"/>
  <c r="E212" i="12" s="1"/>
  <c r="E213" i="12" s="1"/>
  <c r="E214" i="12" s="1"/>
  <c r="E215" i="12" s="1"/>
  <c r="E216" i="12" s="1"/>
  <c r="E217" i="12" s="1"/>
  <c r="E218" i="12" s="1"/>
  <c r="E219" i="12" s="1"/>
  <c r="E220" i="12" s="1"/>
  <c r="E221" i="12" s="1"/>
  <c r="D39" i="12"/>
  <c r="G230" i="12" l="1"/>
  <c r="G231" i="12" s="1"/>
  <c r="G232" i="12" s="1"/>
  <c r="G233" i="12" s="1"/>
  <c r="G234" i="12" s="1"/>
  <c r="G235" i="12" s="1"/>
  <c r="G236" i="12" s="1"/>
  <c r="F230" i="12"/>
  <c r="F231" i="12" s="1"/>
  <c r="F232" i="12" s="1"/>
  <c r="F233" i="12" s="1"/>
  <c r="F234" i="12" s="1"/>
  <c r="F235" i="12" s="1"/>
  <c r="F236" i="12" s="1"/>
  <c r="E230" i="12"/>
  <c r="E231" i="12" s="1"/>
  <c r="E232" i="12" s="1"/>
  <c r="E233" i="12" s="1"/>
  <c r="E234" i="12" s="1"/>
  <c r="E235" i="12" s="1"/>
  <c r="E236" i="12" s="1"/>
  <c r="E104" i="12"/>
  <c r="E105" i="12" s="1"/>
  <c r="E106" i="12" s="1"/>
  <c r="E107" i="12" s="1"/>
  <c r="E108" i="12" s="1"/>
  <c r="E109" i="12" s="1"/>
  <c r="E110" i="12" s="1"/>
  <c r="E111" i="12" s="1"/>
  <c r="E112" i="12" s="1"/>
  <c r="E113" i="12" s="1"/>
  <c r="E114" i="12" s="1"/>
  <c r="E115" i="12" s="1"/>
  <c r="E116" i="12" s="1"/>
  <c r="E117" i="12" s="1"/>
  <c r="E118" i="12" s="1"/>
  <c r="E119" i="12" s="1"/>
  <c r="E120" i="12" s="1"/>
  <c r="E121" i="12" s="1"/>
  <c r="E122" i="12" s="1"/>
  <c r="E123" i="12" s="1"/>
  <c r="E124" i="12" s="1"/>
  <c r="E125" i="12" s="1"/>
  <c r="E126" i="12" s="1"/>
  <c r="E127" i="12" s="1"/>
  <c r="E128" i="12" s="1"/>
  <c r="E129" i="12" s="1"/>
  <c r="E130" i="12" s="1"/>
  <c r="E131" i="12" s="1"/>
  <c r="E132" i="12" s="1"/>
  <c r="E133" i="12" s="1"/>
  <c r="E134" i="12" s="1"/>
  <c r="E135" i="12" s="1"/>
  <c r="E136" i="12" s="1"/>
  <c r="E137" i="12" s="1"/>
  <c r="E138" i="12" s="1"/>
  <c r="E139" i="12" s="1"/>
  <c r="E140" i="12" s="1"/>
  <c r="E141" i="12" s="1"/>
  <c r="E142" i="12" s="1"/>
  <c r="E143" i="12" s="1"/>
  <c r="E144" i="12" s="1"/>
  <c r="E145" i="12" s="1"/>
  <c r="E146" i="12" s="1"/>
  <c r="E147" i="12" s="1"/>
  <c r="E148" i="12" s="1"/>
  <c r="E149" i="12" s="1"/>
  <c r="E150" i="12" s="1"/>
  <c r="E151" i="12" s="1"/>
  <c r="E152" i="12" s="1"/>
  <c r="E153" i="12" s="1"/>
  <c r="E154" i="12" s="1"/>
  <c r="E155" i="12" s="1"/>
  <c r="E156" i="12" s="1"/>
  <c r="E157" i="12" s="1"/>
  <c r="E158" i="12" s="1"/>
  <c r="E159" i="12" s="1"/>
  <c r="E160" i="12" s="1"/>
  <c r="E161" i="12" s="1"/>
  <c r="E162" i="12" s="1"/>
  <c r="E163" i="12" s="1"/>
  <c r="E164" i="12" s="1"/>
  <c r="E165" i="12" s="1"/>
  <c r="E166" i="12" s="1"/>
  <c r="E167" i="12" s="1"/>
  <c r="E168" i="12" s="1"/>
  <c r="E169" i="12" s="1"/>
  <c r="E170" i="12" s="1"/>
  <c r="D40" i="12"/>
  <c r="F222" i="12" l="1"/>
  <c r="F223" i="12" s="1"/>
  <c r="F224" i="12" s="1"/>
  <c r="F225" i="12" s="1"/>
  <c r="F226" i="12" s="1"/>
  <c r="F227" i="12" s="1"/>
  <c r="F228" i="12" s="1"/>
  <c r="F229" i="12" s="1"/>
  <c r="I32" i="12" s="1"/>
  <c r="B32" i="12" s="1"/>
  <c r="E222" i="12"/>
  <c r="E223" i="12" s="1"/>
  <c r="E224" i="12" s="1"/>
  <c r="E225" i="12" s="1"/>
  <c r="E226" i="12" s="1"/>
  <c r="E227" i="12" s="1"/>
  <c r="E228" i="12" s="1"/>
  <c r="E229" i="12" s="1"/>
  <c r="G222" i="12"/>
  <c r="G223" i="12" s="1"/>
  <c r="G224" i="12" s="1"/>
  <c r="G225" i="12" s="1"/>
  <c r="G226" i="12" s="1"/>
  <c r="G227" i="12" s="1"/>
  <c r="G228" i="12" s="1"/>
  <c r="G229" i="12" s="1"/>
  <c r="E171" i="12"/>
  <c r="E172" i="12" s="1"/>
  <c r="E173" i="12" s="1"/>
  <c r="E174" i="12" s="1"/>
  <c r="E175" i="12" s="1"/>
  <c r="E176" i="12" s="1"/>
  <c r="E177" i="12" s="1"/>
  <c r="E178" i="12" s="1"/>
  <c r="E179" i="12" s="1"/>
  <c r="E180" i="12" s="1"/>
  <c r="E181" i="12" s="1"/>
  <c r="E182" i="12" s="1"/>
  <c r="E183" i="12" s="1"/>
  <c r="E184" i="12" s="1"/>
  <c r="E185" i="12" s="1"/>
  <c r="E186" i="12" s="1"/>
  <c r="D41" i="12"/>
  <c r="C23" i="12"/>
  <c r="V187" i="12"/>
  <c r="I35" i="12" l="1"/>
  <c r="B35" i="12" s="1"/>
  <c r="C24" i="12"/>
  <c r="K23" i="12"/>
  <c r="V188" i="12"/>
  <c r="V194" i="12" l="1"/>
  <c r="V202" i="12"/>
  <c r="B23" i="13"/>
  <c r="K24" i="12"/>
  <c r="B24" i="13" s="1"/>
  <c r="V201" i="12" l="1"/>
  <c r="C25" i="12"/>
  <c r="V205" i="12" l="1"/>
  <c r="K25" i="12"/>
  <c r="B25" i="13" s="1"/>
  <c r="V210" i="12" l="1"/>
  <c r="V222" i="12"/>
  <c r="V230" i="12" l="1"/>
  <c r="V237" i="12" l="1"/>
  <c r="C26" i="11" s="1"/>
  <c r="F26" i="11" l="1"/>
  <c r="H26" i="11"/>
  <c r="G26" i="11"/>
  <c r="C23" i="11"/>
  <c r="C29" i="11"/>
  <c r="M24" i="11"/>
  <c r="C32" i="11"/>
  <c r="M27" i="11"/>
  <c r="M33" i="11"/>
  <c r="M30" i="11"/>
  <c r="C38" i="11"/>
  <c r="C35" i="11"/>
  <c r="M39" i="11"/>
  <c r="M36" i="11"/>
  <c r="C44" i="11"/>
  <c r="C50" i="11"/>
  <c r="G50" i="11" s="1"/>
  <c r="C41" i="11"/>
  <c r="M45" i="11"/>
  <c r="C47" i="11"/>
  <c r="C53" i="11"/>
  <c r="M51" i="11"/>
  <c r="G29" i="11" l="1"/>
  <c r="B26" i="11"/>
  <c r="F29" i="11"/>
  <c r="H29" i="11"/>
  <c r="G23" i="11"/>
  <c r="B20" i="11"/>
  <c r="F23" i="11"/>
  <c r="H23" i="11"/>
  <c r="E23" i="11"/>
  <c r="B23" i="11"/>
  <c r="H50" i="11"/>
  <c r="G32" i="11"/>
  <c r="F32" i="11"/>
  <c r="H32" i="11"/>
  <c r="B29" i="11"/>
  <c r="F50" i="11"/>
  <c r="E50" i="11"/>
  <c r="G38" i="11"/>
  <c r="F38" i="11"/>
  <c r="H38" i="11"/>
  <c r="G35" i="11"/>
  <c r="F35" i="11"/>
  <c r="H35" i="11"/>
  <c r="E35" i="11"/>
  <c r="E38" i="11" s="1"/>
  <c r="B32" i="11"/>
  <c r="B35" i="11"/>
  <c r="G44" i="11"/>
  <c r="H44" i="11"/>
  <c r="F44" i="11"/>
  <c r="G47" i="11"/>
  <c r="B44" i="11"/>
  <c r="H47" i="11"/>
  <c r="F47" i="11"/>
  <c r="B38" i="11"/>
  <c r="G41" i="11"/>
  <c r="H41" i="11"/>
  <c r="F41" i="11"/>
  <c r="B41" i="11"/>
  <c r="B47" i="11"/>
  <c r="H53" i="11"/>
  <c r="B53" i="11"/>
  <c r="G53" i="11"/>
  <c r="E53" i="11"/>
  <c r="B50" i="11"/>
  <c r="F53" i="11"/>
  <c r="E26" i="11" l="1"/>
  <c r="E29" i="11" s="1"/>
  <c r="E41" i="11"/>
  <c r="E44" i="11" s="1"/>
  <c r="E47" i="11" s="1"/>
  <c r="AC30" i="11"/>
  <c r="AC31" i="11" s="1"/>
  <c r="P31" i="11"/>
  <c r="Q31" i="11" s="1"/>
  <c r="R31" i="11" s="1"/>
  <c r="S31" i="11" s="1"/>
  <c r="T31" i="11" s="1"/>
  <c r="U31" i="11" s="1"/>
  <c r="V31" i="11" s="1"/>
  <c r="W31" i="11" s="1"/>
  <c r="J38" i="11"/>
  <c r="C26" i="12"/>
  <c r="E32" i="11" l="1"/>
  <c r="J41" i="11"/>
  <c r="K26" i="12"/>
  <c r="B26" i="13" s="1"/>
  <c r="J29" i="11" l="1"/>
  <c r="J20" i="11"/>
  <c r="J23" i="11"/>
  <c r="J26" i="11"/>
  <c r="J32" i="11" l="1"/>
  <c r="J44" i="11"/>
  <c r="J35" i="11"/>
  <c r="J50" i="11"/>
  <c r="J47" i="11"/>
  <c r="C27" i="12"/>
  <c r="C28" i="12" l="1"/>
  <c r="C29" i="12" s="1"/>
  <c r="C30" i="12" s="1"/>
  <c r="K30" i="12" s="1"/>
  <c r="B30" i="13" s="1"/>
  <c r="K27" i="12"/>
  <c r="B27" i="13" s="1"/>
  <c r="I14" i="12" l="1"/>
  <c r="K29" i="12"/>
  <c r="B29" i="13" s="1"/>
  <c r="K28" i="12"/>
  <c r="B28" i="13" s="1"/>
  <c r="I24" i="12"/>
  <c r="I26" i="11" l="1"/>
  <c r="D26" i="11" s="1"/>
  <c r="I47" i="11"/>
  <c r="D47" i="11" s="1"/>
  <c r="I44" i="11" l="1"/>
  <c r="D44" i="11" s="1"/>
  <c r="I29" i="11"/>
  <c r="D29" i="11" s="1"/>
  <c r="I53" i="11"/>
  <c r="I32" i="11"/>
  <c r="D32" i="11" s="1"/>
  <c r="I41" i="11"/>
  <c r="D41" i="11" s="1"/>
  <c r="I38" i="11"/>
  <c r="D38" i="11" s="1"/>
  <c r="I23" i="11"/>
  <c r="D23" i="11" s="1"/>
  <c r="I50" i="11"/>
  <c r="D50" i="11" s="1"/>
  <c r="J53" i="11"/>
  <c r="I35" i="11"/>
  <c r="D35" i="11" s="1"/>
  <c r="I20" i="11"/>
  <c r="D20" i="11" s="1"/>
  <c r="C31" i="12"/>
  <c r="C32" i="12" s="1"/>
  <c r="D53" i="11" l="1"/>
  <c r="C33" i="12"/>
  <c r="K32" i="12"/>
  <c r="B32" i="13" s="1"/>
  <c r="D42" i="12"/>
  <c r="K31" i="12"/>
  <c r="B31" i="13" s="1"/>
  <c r="D43" i="12" l="1"/>
  <c r="D44" i="12" s="1"/>
  <c r="C34" i="12"/>
  <c r="K33" i="12"/>
  <c r="B33" i="13" s="1"/>
  <c r="H38" i="12"/>
  <c r="K34" i="12" l="1"/>
  <c r="B34" i="13" s="1"/>
  <c r="C35" i="12"/>
  <c r="K35" i="12" s="1"/>
  <c r="B35" i="13" s="1"/>
  <c r="D45" i="12"/>
  <c r="C36" i="12" l="1"/>
  <c r="C37" i="12" s="1"/>
  <c r="C38" i="12" s="1"/>
  <c r="K36" i="12" l="1"/>
  <c r="B36" i="13" s="1"/>
  <c r="K38" i="12"/>
  <c r="B38" i="13" s="1"/>
  <c r="C39" i="12"/>
  <c r="K37" i="12"/>
  <c r="B37" i="13" s="1"/>
  <c r="C40" i="12" l="1"/>
  <c r="K39" i="12"/>
  <c r="B39" i="13" s="1"/>
  <c r="H31" i="12"/>
  <c r="K40" i="12" l="1"/>
  <c r="B40" i="13" s="1"/>
  <c r="C41" i="12"/>
  <c r="H24" i="12"/>
  <c r="B24" i="12" s="1"/>
  <c r="K41" i="12" l="1"/>
  <c r="B41" i="13" s="1"/>
  <c r="D46" i="12" l="1"/>
  <c r="D47" i="12" l="1"/>
  <c r="D48" i="12" l="1"/>
  <c r="D49" i="12" l="1"/>
  <c r="D50" i="12" s="1"/>
  <c r="D51" i="12" s="1"/>
  <c r="D52" i="12" l="1"/>
  <c r="I99" i="12"/>
  <c r="D53" i="12" l="1"/>
  <c r="D54" i="12" s="1"/>
  <c r="I202" i="12"/>
  <c r="H99" i="12"/>
  <c r="B99" i="12" s="1"/>
  <c r="I31" i="12" l="1"/>
  <c r="B31" i="12" s="1"/>
  <c r="C42" i="12" l="1"/>
  <c r="C43" i="12" s="1"/>
  <c r="D55" i="12" l="1"/>
  <c r="C44" i="12"/>
  <c r="K43" i="12"/>
  <c r="B43" i="13" s="1"/>
  <c r="K42" i="12"/>
  <c r="D56" i="12" l="1"/>
  <c r="K44" i="12"/>
  <c r="B44" i="13" s="1"/>
  <c r="C45" i="12"/>
  <c r="B42" i="13"/>
  <c r="D57" i="12" l="1"/>
  <c r="D58" i="12" s="1"/>
  <c r="D59" i="12" s="1"/>
  <c r="D60" i="12" s="1"/>
  <c r="D61" i="12" s="1"/>
  <c r="D62" i="12" s="1"/>
  <c r="D63" i="12" s="1"/>
  <c r="K45" i="12"/>
  <c r="B45" i="13" s="1"/>
  <c r="D64" i="12" l="1"/>
  <c r="D65" i="12" s="1"/>
  <c r="D66" i="12" s="1"/>
  <c r="H51" i="12"/>
  <c r="D67" i="12" l="1"/>
  <c r="C46" i="12"/>
  <c r="C47" i="12" s="1"/>
  <c r="D68" i="12" l="1"/>
  <c r="K47" i="12"/>
  <c r="B47" i="13" s="1"/>
  <c r="C48" i="12"/>
  <c r="K46" i="12"/>
  <c r="B46" i="13" s="1"/>
  <c r="D69" i="12" l="1"/>
  <c r="K48" i="12"/>
  <c r="B48" i="13" s="1"/>
  <c r="C49" i="12"/>
  <c r="D70" i="12" l="1"/>
  <c r="K49" i="12"/>
  <c r="B49" i="13" s="1"/>
  <c r="C50" i="12"/>
  <c r="D71" i="12" l="1"/>
  <c r="K50" i="12"/>
  <c r="B50" i="13" s="1"/>
  <c r="C51" i="12"/>
  <c r="D72" i="12" l="1"/>
  <c r="K51" i="12"/>
  <c r="B51" i="13" s="1"/>
  <c r="C52" i="12"/>
  <c r="D73" i="12" l="1"/>
  <c r="K52" i="12"/>
  <c r="B52" i="13" s="1"/>
  <c r="C53" i="12"/>
  <c r="D74" i="12" l="1"/>
  <c r="D75" i="12" s="1"/>
  <c r="K53" i="12"/>
  <c r="B53" i="13" s="1"/>
  <c r="D76" i="12" l="1"/>
  <c r="D77" i="12" l="1"/>
  <c r="D78" i="12" s="1"/>
  <c r="D79" i="12" l="1"/>
  <c r="D80" i="12" l="1"/>
  <c r="D81" i="12" l="1"/>
  <c r="D82" i="12" l="1"/>
  <c r="D83" i="12" l="1"/>
  <c r="D84" i="12" l="1"/>
  <c r="D85" i="12" l="1"/>
  <c r="D86" i="12" s="1"/>
  <c r="D87" i="12" s="1"/>
  <c r="D88" i="12" s="1"/>
  <c r="D89" i="12" s="1"/>
  <c r="D90" i="12" s="1"/>
  <c r="D91" i="12" s="1"/>
  <c r="D92" i="12" s="1"/>
  <c r="D93" i="12" s="1"/>
  <c r="I51" i="12" l="1"/>
  <c r="B51" i="12" s="1"/>
  <c r="C54" i="12"/>
  <c r="H202" i="12"/>
  <c r="B202" i="12" s="1"/>
  <c r="I23" i="12" l="1"/>
  <c r="I43" i="12"/>
  <c r="K54" i="12"/>
  <c r="C55" i="12"/>
  <c r="H84" i="12"/>
  <c r="H55" i="12"/>
  <c r="B54" i="13" l="1"/>
  <c r="C56" i="12"/>
  <c r="K55" i="12"/>
  <c r="B55" i="13" s="1"/>
  <c r="C57" i="12" l="1"/>
  <c r="K56" i="12"/>
  <c r="B56" i="13" s="1"/>
  <c r="H78" i="12"/>
  <c r="H72" i="12"/>
  <c r="H65" i="12"/>
  <c r="I55" i="12"/>
  <c r="B55" i="12" s="1"/>
  <c r="I46" i="12"/>
  <c r="H46" i="12"/>
  <c r="I38" i="12"/>
  <c r="B38" i="12" s="1"/>
  <c r="H43" i="12"/>
  <c r="B43" i="12" s="1"/>
  <c r="C58" i="12" l="1"/>
  <c r="K57" i="12"/>
  <c r="B57" i="13" s="1"/>
  <c r="B46" i="12"/>
  <c r="C28" i="13"/>
  <c r="C59" i="12" l="1"/>
  <c r="K58" i="12"/>
  <c r="B58" i="13" s="1"/>
  <c r="C60" i="12" l="1"/>
  <c r="K59" i="12"/>
  <c r="B59" i="13" s="1"/>
  <c r="C61" i="12" l="1"/>
  <c r="K60" i="12"/>
  <c r="B60" i="13" s="1"/>
  <c r="K61" i="12" l="1"/>
  <c r="B61" i="13" s="1"/>
  <c r="C62" i="12"/>
  <c r="C63" i="12" l="1"/>
  <c r="C64" i="12" s="1"/>
  <c r="K64" i="12" s="1"/>
  <c r="B64" i="13" s="1"/>
  <c r="K62" i="12"/>
  <c r="B62" i="13" s="1"/>
  <c r="D94" i="12"/>
  <c r="D95" i="12" l="1"/>
  <c r="D96" i="12" s="1"/>
  <c r="K63" i="12"/>
  <c r="B63" i="13" s="1"/>
  <c r="H87" i="12"/>
  <c r="D97" i="12" l="1"/>
  <c r="D98" i="12" l="1"/>
  <c r="D99" i="12" s="1"/>
  <c r="D100" i="12" s="1"/>
  <c r="C65" i="12"/>
  <c r="H89" i="12"/>
  <c r="D101" i="12" l="1"/>
  <c r="K65" i="12"/>
  <c r="B65" i="13" s="1"/>
  <c r="C66" i="12"/>
  <c r="D102" i="12" l="1"/>
  <c r="C67" i="12"/>
  <c r="K66" i="12"/>
  <c r="B66" i="13" s="1"/>
  <c r="D103" i="12" l="1"/>
  <c r="K67" i="12"/>
  <c r="B67" i="13" s="1"/>
  <c r="C68" i="12"/>
  <c r="D104" i="12" l="1"/>
  <c r="I101" i="12" s="1"/>
  <c r="C69" i="12"/>
  <c r="K68" i="12"/>
  <c r="B68" i="13" s="1"/>
  <c r="D105" i="12" l="1"/>
  <c r="C70" i="12"/>
  <c r="K69" i="12"/>
  <c r="B69" i="13" s="1"/>
  <c r="D106" i="12" l="1"/>
  <c r="C71" i="12"/>
  <c r="K70" i="12"/>
  <c r="B70" i="13" s="1"/>
  <c r="D107" i="12" l="1"/>
  <c r="I104" i="12" s="1"/>
  <c r="K71" i="12"/>
  <c r="B71" i="13" s="1"/>
  <c r="C72" i="12"/>
  <c r="D108" i="12" l="1"/>
  <c r="I89" i="12"/>
  <c r="B89" i="12" s="1"/>
  <c r="K72" i="12"/>
  <c r="B72" i="13" s="1"/>
  <c r="C73" i="12"/>
  <c r="D109" i="12" l="1"/>
  <c r="C74" i="12"/>
  <c r="K73" i="12"/>
  <c r="B73" i="13" s="1"/>
  <c r="D110" i="12" l="1"/>
  <c r="C75" i="12"/>
  <c r="K74" i="12"/>
  <c r="B74" i="13" s="1"/>
  <c r="D111" i="12" l="1"/>
  <c r="K75" i="12"/>
  <c r="B75" i="13" s="1"/>
  <c r="C76" i="12"/>
  <c r="D112" i="12" l="1"/>
  <c r="K76" i="12"/>
  <c r="B76" i="13" s="1"/>
  <c r="C77" i="12"/>
  <c r="D113" i="12" l="1"/>
  <c r="K77" i="12"/>
  <c r="B77" i="13" s="1"/>
  <c r="C78" i="12"/>
  <c r="D114" i="12" l="1"/>
  <c r="K78" i="12"/>
  <c r="C79" i="12"/>
  <c r="B78" i="13" l="1"/>
  <c r="D115" i="12"/>
  <c r="C80" i="12"/>
  <c r="K79" i="12"/>
  <c r="B79" i="13" s="1"/>
  <c r="D116" i="12" l="1"/>
  <c r="K80" i="12"/>
  <c r="B80" i="13" s="1"/>
  <c r="C81" i="12"/>
  <c r="D117" i="12" l="1"/>
  <c r="K81" i="12"/>
  <c r="B81" i="13" s="1"/>
  <c r="C82" i="12"/>
  <c r="D118" i="12" l="1"/>
  <c r="K82" i="12"/>
  <c r="B82" i="13" s="1"/>
  <c r="C83" i="12"/>
  <c r="D119" i="12" l="1"/>
  <c r="K83" i="12"/>
  <c r="B83" i="13" s="1"/>
  <c r="D120" i="12" l="1"/>
  <c r="C84" i="12"/>
  <c r="D121" i="12" l="1"/>
  <c r="K84" i="12"/>
  <c r="C85" i="12"/>
  <c r="B84" i="13" l="1"/>
  <c r="D122" i="12"/>
  <c r="D123" i="12" s="1"/>
  <c r="D124" i="12" s="1"/>
  <c r="D125" i="12" s="1"/>
  <c r="D126" i="12" s="1"/>
  <c r="D127" i="12" s="1"/>
  <c r="D128" i="12" s="1"/>
  <c r="D129" i="12" s="1"/>
  <c r="D130" i="12" s="1"/>
  <c r="D131" i="12" s="1"/>
  <c r="D132" i="12" s="1"/>
  <c r="D133" i="12" s="1"/>
  <c r="D134" i="12" s="1"/>
  <c r="D135" i="12" s="1"/>
  <c r="D136" i="12" s="1"/>
  <c r="D137" i="12" s="1"/>
  <c r="D138" i="12" s="1"/>
  <c r="D139" i="12" s="1"/>
  <c r="D140" i="12" s="1"/>
  <c r="D141" i="12" s="1"/>
  <c r="D142" i="12" s="1"/>
  <c r="D143" i="12" s="1"/>
  <c r="D144" i="12" s="1"/>
  <c r="D145" i="12" s="1"/>
  <c r="D146" i="12" s="1"/>
  <c r="D147" i="12" s="1"/>
  <c r="D148" i="12" s="1"/>
  <c r="D149" i="12" s="1"/>
  <c r="D150" i="12" s="1"/>
  <c r="D151" i="12" s="1"/>
  <c r="D152" i="12" s="1"/>
  <c r="D153" i="12" s="1"/>
  <c r="D154" i="12" s="1"/>
  <c r="D155" i="12" s="1"/>
  <c r="D156" i="12" s="1"/>
  <c r="D157" i="12" s="1"/>
  <c r="D158" i="12" s="1"/>
  <c r="D159" i="12" s="1"/>
  <c r="D160" i="12" s="1"/>
  <c r="D161" i="12" s="1"/>
  <c r="D162" i="12" s="1"/>
  <c r="D163" i="12" s="1"/>
  <c r="D164" i="12" s="1"/>
  <c r="D165" i="12" s="1"/>
  <c r="D166" i="12" s="1"/>
  <c r="D167" i="12" s="1"/>
  <c r="D168" i="12" s="1"/>
  <c r="D169" i="12" s="1"/>
  <c r="D170" i="12" s="1"/>
  <c r="K85" i="12"/>
  <c r="B85" i="13" s="1"/>
  <c r="D171" i="12" l="1"/>
  <c r="D172" i="12" s="1"/>
  <c r="D173" i="12" s="1"/>
  <c r="D174" i="12" s="1"/>
  <c r="D175" i="12" s="1"/>
  <c r="D176" i="12" s="1"/>
  <c r="D177" i="12" s="1"/>
  <c r="D178" i="12" s="1"/>
  <c r="D179" i="12" s="1"/>
  <c r="D180" i="12" s="1"/>
  <c r="D181" i="12" s="1"/>
  <c r="D182" i="12" s="1"/>
  <c r="D183" i="12" s="1"/>
  <c r="D184" i="12" s="1"/>
  <c r="D185" i="12" s="1"/>
  <c r="D186" i="12" s="1"/>
  <c r="D187" i="12" s="1"/>
  <c r="D188" i="12" s="1"/>
  <c r="D189" i="12" s="1"/>
  <c r="H101" i="12"/>
  <c r="B101" i="12" s="1"/>
  <c r="H107" i="12"/>
  <c r="C86" i="12"/>
  <c r="C239" i="13"/>
  <c r="D190" i="12" l="1"/>
  <c r="D191" i="12" s="1"/>
  <c r="D192" i="12" s="1"/>
  <c r="D193" i="12" s="1"/>
  <c r="D194" i="12" s="1"/>
  <c r="I87" i="12"/>
  <c r="B87" i="12" s="1"/>
  <c r="I72" i="12"/>
  <c r="B72" i="12" s="1"/>
  <c r="I65" i="12"/>
  <c r="B65" i="12" s="1"/>
  <c r="H104" i="12"/>
  <c r="B104" i="12" s="1"/>
  <c r="I78" i="12"/>
  <c r="B78" i="12" s="1"/>
  <c r="I84" i="12"/>
  <c r="B84" i="12" s="1"/>
  <c r="I107" i="12"/>
  <c r="B107" i="12" s="1"/>
  <c r="K86" i="12"/>
  <c r="C87" i="12"/>
  <c r="I188" i="12" l="1"/>
  <c r="D195" i="12"/>
  <c r="B86" i="13"/>
  <c r="C88" i="12"/>
  <c r="K87" i="12"/>
  <c r="D196" i="12" l="1"/>
  <c r="D197" i="12" s="1"/>
  <c r="D198" i="12" s="1"/>
  <c r="D199" i="12" s="1"/>
  <c r="D200" i="12" s="1"/>
  <c r="D201" i="12" s="1"/>
  <c r="B87" i="13"/>
  <c r="K88" i="12"/>
  <c r="B88" i="13" s="1"/>
  <c r="I194" i="12" l="1"/>
  <c r="D202" i="12"/>
  <c r="C89" i="12"/>
  <c r="D203" i="12" l="1"/>
  <c r="K89" i="12"/>
  <c r="C90" i="12"/>
  <c r="C91" i="12" s="1"/>
  <c r="K91" i="12" s="1"/>
  <c r="B91" i="13" s="1"/>
  <c r="D204" i="12" l="1"/>
  <c r="B89" i="13"/>
  <c r="K90" i="12"/>
  <c r="B90" i="13" s="1"/>
  <c r="C92" i="12"/>
  <c r="D205" i="12" l="1"/>
  <c r="K92" i="12"/>
  <c r="B92" i="13" s="1"/>
  <c r="C93" i="12"/>
  <c r="D206" i="12" l="1"/>
  <c r="I201" i="12"/>
  <c r="K93" i="12"/>
  <c r="B93" i="13" s="1"/>
  <c r="D207" i="12" l="1"/>
  <c r="D208" i="12" s="1"/>
  <c r="D209" i="12" s="1"/>
  <c r="D210" i="12" s="1"/>
  <c r="I42" i="12"/>
  <c r="I205" i="12" l="1"/>
  <c r="D211" i="12"/>
  <c r="C94" i="12"/>
  <c r="D212" i="12" l="1"/>
  <c r="C95" i="12"/>
  <c r="K94" i="12"/>
  <c r="I86" i="12"/>
  <c r="D213" i="12" l="1"/>
  <c r="B94" i="13"/>
  <c r="K95" i="12"/>
  <c r="B95" i="13" s="1"/>
  <c r="C96" i="12"/>
  <c r="D214" i="12" l="1"/>
  <c r="K96" i="12"/>
  <c r="B96" i="13" s="1"/>
  <c r="C97" i="12"/>
  <c r="K97" i="12" s="1"/>
  <c r="B97" i="13" s="1"/>
  <c r="M48" i="11"/>
  <c r="D215" i="12" l="1"/>
  <c r="C98" i="12"/>
  <c r="D216" i="12" l="1"/>
  <c r="K98" i="12"/>
  <c r="B98" i="13" s="1"/>
  <c r="C99" i="12"/>
  <c r="K99" i="12" s="1"/>
  <c r="B99" i="13" s="1"/>
  <c r="D217" i="12" l="1"/>
  <c r="C100" i="12"/>
  <c r="D218" i="12" l="1"/>
  <c r="I94" i="12"/>
  <c r="C101" i="12"/>
  <c r="K100" i="12"/>
  <c r="D219" i="12" l="1"/>
  <c r="B100" i="13"/>
  <c r="K101" i="12"/>
  <c r="C102" i="12"/>
  <c r="D220" i="12" l="1"/>
  <c r="D221" i="12" s="1"/>
  <c r="D222" i="12" s="1"/>
  <c r="D223" i="12" s="1"/>
  <c r="D224" i="12" s="1"/>
  <c r="D225" i="12" s="1"/>
  <c r="D226" i="12" s="1"/>
  <c r="D227" i="12" s="1"/>
  <c r="D228" i="12" s="1"/>
  <c r="D229" i="12" s="1"/>
  <c r="D230" i="12" s="1"/>
  <c r="D231" i="12" s="1"/>
  <c r="D232" i="12" s="1"/>
  <c r="D233" i="12" s="1"/>
  <c r="D234" i="12" s="1"/>
  <c r="D235" i="12" s="1"/>
  <c r="D236" i="12" s="1"/>
  <c r="D237" i="12" s="1"/>
  <c r="D238" i="12" s="1"/>
  <c r="D239" i="12" s="1"/>
  <c r="D240" i="12" s="1"/>
  <c r="D241" i="12" s="1"/>
  <c r="H210" i="12"/>
  <c r="B101" i="13"/>
  <c r="K102" i="12"/>
  <c r="B102" i="13" s="1"/>
  <c r="C103" i="12"/>
  <c r="H188" i="12" l="1"/>
  <c r="B188" i="12" s="1"/>
  <c r="H14" i="12"/>
  <c r="B14" i="12" s="1"/>
  <c r="H194" i="12"/>
  <c r="B194" i="12" s="1"/>
  <c r="H201" i="12"/>
  <c r="B201" i="12" s="1"/>
  <c r="H205" i="12"/>
  <c r="B205" i="12" s="1"/>
  <c r="I210" i="12"/>
  <c r="B210" i="12" s="1"/>
  <c r="K103" i="12"/>
  <c r="B103" i="13" s="1"/>
  <c r="C104" i="12"/>
  <c r="C105" i="12" l="1"/>
  <c r="K104" i="12"/>
  <c r="B104" i="13" l="1"/>
  <c r="C106" i="12"/>
  <c r="K105" i="12"/>
  <c r="B105" i="13" s="1"/>
  <c r="C107" i="12" l="1"/>
  <c r="K106" i="12"/>
  <c r="B106" i="13" s="1"/>
  <c r="C108" i="12" l="1"/>
  <c r="K107" i="12"/>
  <c r="B107" i="13" l="1"/>
  <c r="C109" i="12"/>
  <c r="K108" i="12"/>
  <c r="B108" i="13" s="1"/>
  <c r="K109" i="12" l="1"/>
  <c r="B109" i="13" s="1"/>
  <c r="C110" i="12"/>
  <c r="C111" i="12" l="1"/>
  <c r="K110" i="12"/>
  <c r="B110" i="13" s="1"/>
  <c r="I54" i="12"/>
  <c r="K111" i="12" l="1"/>
  <c r="B111" i="13" s="1"/>
  <c r="C112" i="12"/>
  <c r="X51" i="12"/>
  <c r="K112" i="12" l="1"/>
  <c r="C113" i="12"/>
  <c r="D51" i="13"/>
  <c r="S51" i="12"/>
  <c r="B112" i="13" l="1"/>
  <c r="K113" i="12"/>
  <c r="B113" i="13" s="1"/>
  <c r="C114" i="12"/>
  <c r="C51" i="13"/>
  <c r="M42" i="11"/>
  <c r="K114" i="12" l="1"/>
  <c r="B114" i="13" s="1"/>
  <c r="C115" i="12"/>
  <c r="K115" i="12" l="1"/>
  <c r="B115" i="13" s="1"/>
  <c r="C116" i="12"/>
  <c r="K116" i="12" l="1"/>
  <c r="B116" i="13" s="1"/>
  <c r="C117" i="12"/>
  <c r="K117" i="12" l="1"/>
  <c r="B117" i="13" s="1"/>
  <c r="C118" i="12"/>
  <c r="K118" i="12" l="1"/>
  <c r="B118" i="13" s="1"/>
  <c r="C119" i="12"/>
  <c r="K119" i="12" l="1"/>
  <c r="B119" i="13" s="1"/>
  <c r="C120" i="12"/>
  <c r="K120" i="12" l="1"/>
  <c r="B120" i="13" s="1"/>
  <c r="C121" i="12"/>
  <c r="K121" i="12" l="1"/>
  <c r="B121" i="13" s="1"/>
  <c r="C122" i="12"/>
  <c r="K122" i="12" l="1"/>
  <c r="B122" i="13" s="1"/>
  <c r="C123" i="12"/>
  <c r="K123" i="12" l="1"/>
  <c r="B123" i="13" s="1"/>
  <c r="C124" i="12"/>
  <c r="K124" i="12" l="1"/>
  <c r="B124" i="13" s="1"/>
  <c r="C125" i="12"/>
  <c r="K125" i="12" l="1"/>
  <c r="B125" i="13" s="1"/>
  <c r="C126" i="12"/>
  <c r="K126" i="12" l="1"/>
  <c r="B126" i="13" s="1"/>
  <c r="C127" i="12"/>
  <c r="K127" i="12" l="1"/>
  <c r="B127" i="13" s="1"/>
  <c r="C128" i="12"/>
  <c r="K128" i="12" l="1"/>
  <c r="B128" i="13" s="1"/>
  <c r="C129" i="12"/>
  <c r="K129" i="12" l="1"/>
  <c r="B129" i="13" s="1"/>
  <c r="C130" i="12"/>
  <c r="K130" i="12" l="1"/>
  <c r="B130" i="13" s="1"/>
  <c r="C131" i="12"/>
  <c r="K131" i="12" l="1"/>
  <c r="B131" i="13" s="1"/>
  <c r="C132" i="12"/>
  <c r="C133" i="12" l="1"/>
  <c r="K132" i="12"/>
  <c r="B132" i="13" s="1"/>
  <c r="C134" i="12" l="1"/>
  <c r="K133" i="12"/>
  <c r="B133" i="13" s="1"/>
  <c r="C135" i="12" l="1"/>
  <c r="K134" i="12"/>
  <c r="B134" i="13" s="1"/>
  <c r="K135" i="12" l="1"/>
  <c r="B135" i="13" s="1"/>
  <c r="C136" i="12"/>
  <c r="C137" i="12" l="1"/>
  <c r="K136" i="12"/>
  <c r="B136" i="13" s="1"/>
  <c r="K137" i="12" l="1"/>
  <c r="B137" i="13" s="1"/>
  <c r="C138" i="12"/>
  <c r="C139" i="12" l="1"/>
  <c r="K138" i="12"/>
  <c r="B138" i="13" s="1"/>
  <c r="C140" i="12" l="1"/>
  <c r="K139" i="12"/>
  <c r="B139" i="13" s="1"/>
  <c r="C141" i="12" l="1"/>
  <c r="K140" i="12"/>
  <c r="B140" i="13" s="1"/>
  <c r="C142" i="12" l="1"/>
  <c r="K141" i="12"/>
  <c r="B141" i="13" s="1"/>
  <c r="C143" i="12" l="1"/>
  <c r="K142" i="12"/>
  <c r="B142" i="13" s="1"/>
  <c r="C144" i="12" l="1"/>
  <c r="K143" i="12"/>
  <c r="B143" i="13" s="1"/>
  <c r="C145" i="12" l="1"/>
  <c r="K144" i="12"/>
  <c r="B144" i="13" s="1"/>
  <c r="C146" i="12" l="1"/>
  <c r="K145" i="12"/>
  <c r="B145" i="13" s="1"/>
  <c r="C147" i="12" l="1"/>
  <c r="K146" i="12"/>
  <c r="B146" i="13" s="1"/>
  <c r="C148" i="12" l="1"/>
  <c r="K147" i="12"/>
  <c r="B147" i="13" s="1"/>
  <c r="C149" i="12" l="1"/>
  <c r="K148" i="12"/>
  <c r="B148" i="13" s="1"/>
  <c r="K149" i="12" l="1"/>
  <c r="B149" i="13" s="1"/>
  <c r="C150" i="12"/>
  <c r="K150" i="12" l="1"/>
  <c r="B150" i="13" s="1"/>
  <c r="C151" i="12"/>
  <c r="K151" i="12" l="1"/>
  <c r="B151" i="13" s="1"/>
  <c r="C152" i="12"/>
  <c r="K152" i="12" l="1"/>
  <c r="B152" i="13" s="1"/>
  <c r="C153" i="12"/>
  <c r="K153" i="12" l="1"/>
  <c r="B153" i="13" s="1"/>
  <c r="C154" i="12"/>
  <c r="K154" i="12" l="1"/>
  <c r="B154" i="13" s="1"/>
  <c r="C155" i="12"/>
  <c r="K155" i="12" l="1"/>
  <c r="B155" i="13" s="1"/>
  <c r="C156" i="12"/>
  <c r="K156" i="12" l="1"/>
  <c r="B156" i="13" s="1"/>
  <c r="C157" i="12"/>
  <c r="C158" i="12" l="1"/>
  <c r="K157" i="12"/>
  <c r="B157" i="13" s="1"/>
  <c r="K158" i="12" l="1"/>
  <c r="B158" i="13" s="1"/>
  <c r="C159" i="12"/>
  <c r="K159" i="12" l="1"/>
  <c r="B159" i="13" s="1"/>
  <c r="C160" i="12"/>
  <c r="K160" i="12" l="1"/>
  <c r="B160" i="13" s="1"/>
  <c r="C161" i="12"/>
  <c r="K161" i="12" l="1"/>
  <c r="B161" i="13" s="1"/>
  <c r="C162" i="12"/>
  <c r="K162" i="12" l="1"/>
  <c r="B162" i="13" s="1"/>
  <c r="C163" i="12"/>
  <c r="K163" i="12" l="1"/>
  <c r="B163" i="13" s="1"/>
  <c r="C164" i="12"/>
  <c r="K164" i="12" l="1"/>
  <c r="B164" i="13" s="1"/>
  <c r="C165" i="12"/>
  <c r="K165" i="12" l="1"/>
  <c r="B165" i="13" s="1"/>
  <c r="C166" i="12"/>
  <c r="K166" i="12" l="1"/>
  <c r="B166" i="13" s="1"/>
  <c r="C167" i="12"/>
  <c r="K167" i="12" l="1"/>
  <c r="B167" i="13" s="1"/>
  <c r="C168" i="12"/>
  <c r="K168" i="12" l="1"/>
  <c r="B168" i="13" s="1"/>
  <c r="C169" i="12"/>
  <c r="K169" i="12" l="1"/>
  <c r="B169" i="13" s="1"/>
  <c r="C170" i="12"/>
  <c r="C171" i="12" s="1"/>
  <c r="C172" i="12" l="1"/>
  <c r="K171" i="12"/>
  <c r="B171" i="13" s="1"/>
  <c r="K170" i="12"/>
  <c r="B170" i="13" s="1"/>
  <c r="K172" i="12" l="1"/>
  <c r="B172" i="13" s="1"/>
  <c r="C173" i="12"/>
  <c r="C174" i="12" l="1"/>
  <c r="K173" i="12"/>
  <c r="B173" i="13" s="1"/>
  <c r="I100" i="12"/>
  <c r="C175" i="12" l="1"/>
  <c r="K174" i="12"/>
  <c r="B174" i="13" s="1"/>
  <c r="C176" i="12" l="1"/>
  <c r="K175" i="12"/>
  <c r="B175" i="13" s="1"/>
  <c r="C177" i="12" l="1"/>
  <c r="K176" i="12"/>
  <c r="B176" i="13" s="1"/>
  <c r="C178" i="12" l="1"/>
  <c r="K177" i="12"/>
  <c r="B177" i="13" s="1"/>
  <c r="K178" i="12" l="1"/>
  <c r="B178" i="13" s="1"/>
  <c r="C179" i="12"/>
  <c r="C180" i="12" l="1"/>
  <c r="K179" i="12"/>
  <c r="B179" i="13" s="1"/>
  <c r="K180" i="12" l="1"/>
  <c r="B180" i="13" s="1"/>
  <c r="C181" i="12"/>
  <c r="K181" i="12" l="1"/>
  <c r="B181" i="13" s="1"/>
  <c r="C182" i="12"/>
  <c r="K182" i="12" l="1"/>
  <c r="B182" i="13" s="1"/>
  <c r="C183" i="12"/>
  <c r="C184" i="12" l="1"/>
  <c r="K183" i="12"/>
  <c r="B183" i="13" s="1"/>
  <c r="K184" i="12" l="1"/>
  <c r="B184" i="13" s="1"/>
  <c r="C185" i="12"/>
  <c r="C186" i="12" l="1"/>
  <c r="K185" i="12"/>
  <c r="B185" i="13" s="1"/>
  <c r="K186" i="12" l="1"/>
  <c r="B186" i="13" s="1"/>
  <c r="C187" i="12" l="1"/>
  <c r="C188" i="12" l="1"/>
  <c r="K187" i="12"/>
  <c r="B187" i="13" l="1"/>
  <c r="C189" i="12"/>
  <c r="K188" i="12"/>
  <c r="B188" i="13" l="1"/>
  <c r="K189" i="12"/>
  <c r="B189" i="13" s="1"/>
  <c r="C190" i="12"/>
  <c r="C191" i="12" l="1"/>
  <c r="K190" i="12"/>
  <c r="B190" i="13" s="1"/>
  <c r="C192" i="12" l="1"/>
  <c r="K191" i="12"/>
  <c r="B191" i="13" s="1"/>
  <c r="C193" i="12" l="1"/>
  <c r="K192" i="12"/>
  <c r="B192" i="13" s="1"/>
  <c r="K193" i="12" l="1"/>
  <c r="B193" i="13" s="1"/>
  <c r="C194" i="12"/>
  <c r="K194" i="12" l="1"/>
  <c r="C195" i="12"/>
  <c r="K195" i="12" l="1"/>
  <c r="B195" i="13" s="1"/>
  <c r="C196" i="12"/>
  <c r="B194" i="13"/>
  <c r="P43" i="11"/>
  <c r="AC42" i="11"/>
  <c r="AC43" i="11" s="1"/>
  <c r="C197" i="12" l="1"/>
  <c r="K196" i="12"/>
  <c r="B196" i="13" s="1"/>
  <c r="Q43" i="11"/>
  <c r="R43" i="11" s="1"/>
  <c r="K197" i="12" l="1"/>
  <c r="B197" i="13" s="1"/>
  <c r="C198" i="12"/>
  <c r="S43" i="11"/>
  <c r="K198" i="12" l="1"/>
  <c r="B198" i="13" s="1"/>
  <c r="C199" i="12"/>
  <c r="T43" i="11"/>
  <c r="C200" i="12" l="1"/>
  <c r="K199" i="12"/>
  <c r="B199" i="13" s="1"/>
  <c r="U43" i="11"/>
  <c r="K200" i="12" l="1"/>
  <c r="B200" i="13" s="1"/>
  <c r="C201" i="12"/>
  <c r="V43" i="11"/>
  <c r="K201" i="12" l="1"/>
  <c r="C202" i="12"/>
  <c r="W43" i="11"/>
  <c r="K202" i="12" l="1"/>
  <c r="B202" i="13" s="1"/>
  <c r="C203" i="12"/>
  <c r="B201" i="13"/>
  <c r="X201" i="12"/>
  <c r="K203" i="12" l="1"/>
  <c r="B203" i="13" s="1"/>
  <c r="C204" i="12"/>
  <c r="K204" i="12" l="1"/>
  <c r="B204" i="13" s="1"/>
  <c r="C205" i="12"/>
  <c r="S201" i="12"/>
  <c r="D201" i="13"/>
  <c r="C201" i="13"/>
  <c r="C191" i="13"/>
  <c r="C206" i="12" l="1"/>
  <c r="K205" i="12"/>
  <c r="B205" i="13" l="1"/>
  <c r="K206" i="12"/>
  <c r="B206" i="13" s="1"/>
  <c r="C207" i="12"/>
  <c r="K207" i="12" l="1"/>
  <c r="B207" i="13" s="1"/>
  <c r="C208" i="12"/>
  <c r="C209" i="12" l="1"/>
  <c r="K208" i="12"/>
  <c r="B208" i="13" s="1"/>
  <c r="C210" i="12" l="1"/>
  <c r="K209" i="12"/>
  <c r="B209" i="13" s="1"/>
  <c r="C211" i="12" l="1"/>
  <c r="K210" i="12"/>
  <c r="B210" i="13" l="1"/>
  <c r="K211" i="12"/>
  <c r="B211" i="13" s="1"/>
  <c r="C212" i="12"/>
  <c r="C213" i="12" l="1"/>
  <c r="K212" i="12"/>
  <c r="B212" i="13" s="1"/>
  <c r="K213" i="12" l="1"/>
  <c r="B213" i="13" s="1"/>
  <c r="C214" i="12"/>
  <c r="C215" i="12" l="1"/>
  <c r="K214" i="12"/>
  <c r="B214" i="13" s="1"/>
  <c r="K215" i="12" l="1"/>
  <c r="B215" i="13" s="1"/>
  <c r="C216" i="12"/>
  <c r="C217" i="12" l="1"/>
  <c r="K216" i="12"/>
  <c r="B216" i="13" s="1"/>
  <c r="C218" i="12" l="1"/>
  <c r="K217" i="12"/>
  <c r="B217" i="13" s="1"/>
  <c r="C219" i="12" l="1"/>
  <c r="K218" i="12"/>
  <c r="B218" i="13" s="1"/>
  <c r="C220" i="12" l="1"/>
  <c r="K219" i="12"/>
  <c r="B219" i="13" s="1"/>
  <c r="K220" i="12" l="1"/>
  <c r="B220" i="13" s="1"/>
  <c r="C221" i="12"/>
  <c r="K221" i="12" l="1"/>
  <c r="B221" i="13" s="1"/>
  <c r="C222" i="12" l="1"/>
  <c r="C223" i="12" l="1"/>
  <c r="K222" i="12"/>
  <c r="I112" i="12"/>
  <c r="B222" i="13" l="1"/>
  <c r="K223" i="12"/>
  <c r="B223" i="13" s="1"/>
  <c r="C224" i="12"/>
  <c r="C225" i="12" l="1"/>
  <c r="K224" i="12"/>
  <c r="B224" i="13" s="1"/>
  <c r="C226" i="12" l="1"/>
  <c r="K225" i="12"/>
  <c r="B225" i="13" s="1"/>
  <c r="K226" i="12" l="1"/>
  <c r="B226" i="13" s="1"/>
  <c r="C227" i="12"/>
  <c r="K227" i="12" l="1"/>
  <c r="B227" i="13" s="1"/>
  <c r="C228" i="12"/>
  <c r="K228" i="12" l="1"/>
  <c r="B228" i="13" s="1"/>
  <c r="C229" i="12"/>
  <c r="K229" i="12" l="1"/>
  <c r="B229" i="13" s="1"/>
  <c r="C230" i="12" l="1"/>
  <c r="C231" i="12" l="1"/>
  <c r="K230" i="12"/>
  <c r="K231" i="12" l="1"/>
  <c r="B231" i="13" s="1"/>
  <c r="C232" i="12"/>
  <c r="B230" i="13"/>
  <c r="K232" i="12" l="1"/>
  <c r="B232" i="13" s="1"/>
  <c r="C233" i="12"/>
  <c r="I187" i="12"/>
  <c r="K233" i="12" l="1"/>
  <c r="B233" i="13" s="1"/>
  <c r="C234" i="12"/>
  <c r="C235" i="12" l="1"/>
  <c r="K234" i="12"/>
  <c r="B234" i="13" s="1"/>
  <c r="K235" i="12" l="1"/>
  <c r="B235" i="13" s="1"/>
  <c r="C236" i="12"/>
  <c r="K236" i="12" l="1"/>
  <c r="B236" i="13" s="1"/>
  <c r="C237" i="12"/>
  <c r="I230" i="12" s="1"/>
  <c r="K237" i="12" l="1"/>
  <c r="C238" i="12"/>
  <c r="L24" i="11" l="1"/>
  <c r="L21" i="11"/>
  <c r="L30" i="11"/>
  <c r="L27" i="11"/>
  <c r="L36" i="11"/>
  <c r="L33" i="11"/>
  <c r="L42" i="11"/>
  <c r="L39" i="11"/>
  <c r="L48" i="11"/>
  <c r="L45" i="11"/>
  <c r="L51" i="11"/>
  <c r="B237" i="13"/>
  <c r="K238" i="12"/>
  <c r="B238" i="13" s="1"/>
  <c r="C239" i="12"/>
  <c r="C240" i="12" l="1"/>
  <c r="K239" i="12"/>
  <c r="B239" i="13" s="1"/>
  <c r="K240" i="12" l="1"/>
  <c r="B240" i="13" s="1"/>
  <c r="C241" i="12"/>
  <c r="I13" i="12" s="1"/>
  <c r="H112" i="12" l="1"/>
  <c r="B112" i="12" s="1"/>
  <c r="I222" i="12"/>
  <c r="H222" i="12"/>
  <c r="H54" i="12"/>
  <c r="B54" i="12" s="1"/>
  <c r="H94" i="12"/>
  <c r="B94" i="12" s="1"/>
  <c r="H187" i="12"/>
  <c r="B187" i="12" s="1"/>
  <c r="H13" i="12"/>
  <c r="B13" i="12" s="1"/>
  <c r="H100" i="12"/>
  <c r="B100" i="12" s="1"/>
  <c r="H42" i="12"/>
  <c r="B42" i="12" s="1"/>
  <c r="H23" i="12"/>
  <c r="B23" i="12" s="1"/>
  <c r="H86" i="12"/>
  <c r="B86" i="12" s="1"/>
  <c r="H237" i="12"/>
  <c r="I237" i="12"/>
  <c r="K241" i="12"/>
  <c r="H230" i="12"/>
  <c r="B230" i="12" s="1"/>
  <c r="B241" i="13" l="1"/>
  <c r="B222" i="12"/>
  <c r="B237" i="12"/>
  <c r="B12" i="12" l="1"/>
  <c r="P52" i="11" l="1"/>
  <c r="Q52" i="11" l="1"/>
  <c r="P28" i="11" l="1"/>
  <c r="Q28" i="11" s="1"/>
  <c r="P40" i="11"/>
  <c r="Q40" i="11" s="1"/>
  <c r="AC27" i="11"/>
  <c r="AC28" i="11" s="1"/>
  <c r="AC39" i="11"/>
  <c r="AC40" i="11" s="1"/>
  <c r="R40" i="11" l="1"/>
  <c r="R28" i="11"/>
  <c r="S28" i="11" l="1"/>
  <c r="S40" i="11"/>
  <c r="T40" i="11" l="1"/>
  <c r="T28" i="11"/>
  <c r="U28" i="11" l="1"/>
  <c r="U40" i="11"/>
  <c r="V40" i="11" l="1"/>
  <c r="V28" i="11"/>
  <c r="W28" i="11" l="1"/>
  <c r="W40" i="11"/>
  <c r="AC51" i="11"/>
  <c r="AC52" i="11" s="1"/>
  <c r="R52" i="11"/>
  <c r="S52" i="11" s="1"/>
  <c r="T52" i="11" l="1"/>
  <c r="U52" i="11" l="1"/>
  <c r="V52" i="11" l="1"/>
  <c r="W52" i="11" s="1"/>
  <c r="X21" i="12"/>
  <c r="X196" i="12"/>
  <c r="X145" i="12"/>
  <c r="X57" i="12"/>
  <c r="X239" i="12"/>
  <c r="X166" i="12"/>
  <c r="X83" i="12"/>
  <c r="X22" i="12"/>
  <c r="X156" i="12"/>
  <c r="X18" i="12"/>
  <c r="X75" i="12"/>
  <c r="X153" i="12"/>
  <c r="X143" i="12"/>
  <c r="X111" i="12"/>
  <c r="X40" i="12"/>
  <c r="X177" i="12"/>
  <c r="X228" i="12"/>
  <c r="X198" i="12"/>
  <c r="X159" i="12"/>
  <c r="X26" i="12"/>
  <c r="X231" i="12"/>
  <c r="X227" i="12"/>
  <c r="X29" i="12"/>
  <c r="X140" i="12"/>
  <c r="X193" i="12"/>
  <c r="X235" i="12"/>
  <c r="X117" i="12"/>
  <c r="X95" i="12"/>
  <c r="X233" i="12"/>
  <c r="X154" i="12"/>
  <c r="X67" i="12"/>
  <c r="X80" i="12"/>
  <c r="X229" i="12"/>
  <c r="X191" i="12"/>
  <c r="X116" i="12"/>
  <c r="X234" i="12"/>
  <c r="X218" i="12"/>
  <c r="X165" i="12"/>
  <c r="X37" i="12"/>
  <c r="X76" i="12"/>
  <c r="X120" i="12"/>
  <c r="X39" i="12"/>
  <c r="X151" i="12"/>
  <c r="X129" i="12"/>
  <c r="X97" i="12"/>
  <c r="X150" i="12"/>
  <c r="X185" i="12"/>
  <c r="X202" i="12"/>
  <c r="X174" i="12"/>
  <c r="X216" i="12"/>
  <c r="X146" i="12"/>
  <c r="X56" i="12"/>
  <c r="X139" i="12"/>
  <c r="X66" i="12"/>
  <c r="X238" i="12"/>
  <c r="X70" i="12"/>
  <c r="X133" i="12"/>
  <c r="X190" i="12"/>
  <c r="X138" i="12"/>
  <c r="X124" i="12"/>
  <c r="X175" i="12"/>
  <c r="X52" i="12"/>
  <c r="X79" i="12"/>
  <c r="X172" i="12"/>
  <c r="X212" i="12"/>
  <c r="X20" i="12"/>
  <c r="X157" i="12"/>
  <c r="X142" i="12"/>
  <c r="X132" i="12"/>
  <c r="X92" i="12"/>
  <c r="X74" i="12"/>
  <c r="X123" i="12"/>
  <c r="X58" i="12"/>
  <c r="X99" i="12"/>
  <c r="X147" i="12"/>
  <c r="X110" i="12"/>
  <c r="X209" i="12"/>
  <c r="X176" i="12"/>
  <c r="X63" i="12"/>
  <c r="X131" i="12"/>
  <c r="X59" i="12"/>
  <c r="X61" i="12"/>
  <c r="X136" i="12"/>
  <c r="X62" i="12"/>
  <c r="X48" i="12"/>
  <c r="X113" i="12"/>
  <c r="X60" i="12"/>
  <c r="X49" i="12"/>
  <c r="X128" i="12"/>
  <c r="X167" i="12"/>
  <c r="X192" i="12"/>
  <c r="X36" i="12"/>
  <c r="X98" i="12"/>
  <c r="X170" i="12"/>
  <c r="X96" i="12"/>
  <c r="X241" i="12"/>
  <c r="X189" i="12"/>
  <c r="X41" i="12"/>
  <c r="X27" i="12"/>
  <c r="X134" i="12"/>
  <c r="X220" i="12"/>
  <c r="X103" i="12"/>
  <c r="X219" i="12"/>
  <c r="X240" i="12"/>
  <c r="X164" i="12"/>
  <c r="X199" i="12"/>
  <c r="X47" i="12"/>
  <c r="X119" i="12"/>
  <c r="X236" i="12"/>
  <c r="X173" i="12"/>
  <c r="X186" i="12"/>
  <c r="X214" i="12"/>
  <c r="X158" i="12"/>
  <c r="X200" i="12"/>
  <c r="X217" i="12"/>
  <c r="X183" i="12"/>
  <c r="X215" i="12"/>
  <c r="X144" i="12"/>
  <c r="X69" i="12"/>
  <c r="X148" i="12"/>
  <c r="X224" i="12"/>
  <c r="X105" i="12"/>
  <c r="X163" i="12"/>
  <c r="X28" i="12"/>
  <c r="X135" i="12"/>
  <c r="X225" i="12"/>
  <c r="X232" i="12"/>
  <c r="X34" i="12"/>
  <c r="X213" i="12"/>
  <c r="X171" i="12"/>
  <c r="X226" i="12"/>
  <c r="X81" i="12"/>
  <c r="X68" i="12"/>
  <c r="X178" i="12"/>
  <c r="X53" i="12"/>
  <c r="X181" i="12"/>
  <c r="X160" i="12"/>
  <c r="X16" i="12"/>
  <c r="X162" i="12"/>
  <c r="X45" i="12"/>
  <c r="X221" i="12"/>
  <c r="X195" i="12"/>
  <c r="X184" i="12"/>
  <c r="X204" i="12"/>
  <c r="X115" i="12"/>
  <c r="X168" i="12"/>
  <c r="X211" i="12"/>
  <c r="X30" i="12"/>
  <c r="X182" i="12"/>
  <c r="X130" i="12"/>
  <c r="X82" i="12"/>
  <c r="X180" i="12"/>
  <c r="X106" i="12"/>
  <c r="X71" i="12"/>
  <c r="X114" i="12"/>
  <c r="X64" i="12"/>
  <c r="X179" i="12"/>
  <c r="X206" i="12"/>
  <c r="X208" i="12"/>
  <c r="X141" i="12"/>
  <c r="X77" i="12"/>
  <c r="X121" i="12"/>
  <c r="X223" i="12"/>
  <c r="X90" i="12"/>
  <c r="X152" i="12"/>
  <c r="X85" i="12"/>
  <c r="X125" i="12"/>
  <c r="X17" i="12"/>
  <c r="X197" i="12"/>
  <c r="X155" i="12"/>
  <c r="X91" i="12"/>
  <c r="X203" i="12"/>
  <c r="X102" i="12"/>
  <c r="X126" i="12"/>
  <c r="X19" i="12"/>
  <c r="X137" i="12"/>
  <c r="X88" i="12"/>
  <c r="X127" i="12"/>
  <c r="X25" i="12"/>
  <c r="X207" i="12"/>
  <c r="X122" i="12"/>
  <c r="X73" i="12"/>
  <c r="X109" i="12"/>
  <c r="X118" i="12"/>
  <c r="X149" i="12"/>
  <c r="X161" i="12"/>
  <c r="X50" i="12"/>
  <c r="X169" i="12"/>
  <c r="X93" i="12"/>
  <c r="X44" i="12"/>
  <c r="X108" i="12"/>
  <c r="X33" i="12"/>
  <c r="D21" i="13" l="1"/>
  <c r="M21" i="11" l="1"/>
  <c r="D196" i="13"/>
  <c r="S57" i="12"/>
  <c r="T57" i="12" s="1"/>
  <c r="U57" i="12" s="1"/>
  <c r="S239" i="12"/>
  <c r="T239" i="12" s="1"/>
  <c r="U239" i="12" s="1"/>
  <c r="C83" i="13"/>
  <c r="D22" i="13"/>
  <c r="D156" i="13"/>
  <c r="D75" i="13"/>
  <c r="C153" i="13"/>
  <c r="S143" i="12"/>
  <c r="T143" i="12" s="1"/>
  <c r="U143" i="12" s="1"/>
  <c r="D40" i="13"/>
  <c r="D177" i="13"/>
  <c r="C228" i="13"/>
  <c r="C159" i="13"/>
  <c r="S26" i="12"/>
  <c r="T26" i="12" s="1"/>
  <c r="U26" i="12" s="1"/>
  <c r="S231" i="12"/>
  <c r="T231" i="12" s="1"/>
  <c r="U231" i="12" s="1"/>
  <c r="C29" i="13"/>
  <c r="S140" i="12"/>
  <c r="T140" i="12" s="1"/>
  <c r="U140" i="12" s="1"/>
  <c r="S193" i="12"/>
  <c r="T193" i="12" s="1"/>
  <c r="U193" i="12" s="1"/>
  <c r="S117" i="12"/>
  <c r="T117" i="12" s="1"/>
  <c r="U117" i="12" s="1"/>
  <c r="C95" i="13"/>
  <c r="D233" i="13"/>
  <c r="S67" i="12"/>
  <c r="T67" i="12" s="1"/>
  <c r="U67" i="12" s="1"/>
  <c r="S80" i="12"/>
  <c r="T80" i="12" s="1"/>
  <c r="U80" i="12" s="1"/>
  <c r="S229" i="12"/>
  <c r="T229" i="12" s="1"/>
  <c r="U229" i="12" s="1"/>
  <c r="S116" i="12"/>
  <c r="T116" i="12" s="1"/>
  <c r="U116" i="12" s="1"/>
  <c r="D234" i="13"/>
  <c r="S165" i="12"/>
  <c r="T165" i="12" s="1"/>
  <c r="U165" i="12" s="1"/>
  <c r="D37" i="13"/>
  <c r="C76" i="13"/>
  <c r="D39" i="13"/>
  <c r="D150" i="13"/>
  <c r="C216" i="13"/>
  <c r="C146" i="13"/>
  <c r="C56" i="13"/>
  <c r="C66" i="13"/>
  <c r="D238" i="13"/>
  <c r="D70" i="13"/>
  <c r="C190" i="13"/>
  <c r="S138" i="12"/>
  <c r="T138" i="12" s="1"/>
  <c r="U138" i="12" s="1"/>
  <c r="S124" i="12"/>
  <c r="T124" i="12" s="1"/>
  <c r="U124" i="12" s="1"/>
  <c r="D52" i="13"/>
  <c r="S79" i="12"/>
  <c r="T79" i="12" s="1"/>
  <c r="C172" i="13"/>
  <c r="C20" i="13"/>
  <c r="D157" i="13"/>
  <c r="D142" i="13"/>
  <c r="C92" i="13"/>
  <c r="S74" i="12"/>
  <c r="T74" i="12" s="1"/>
  <c r="U74" i="12" s="1"/>
  <c r="D123" i="13"/>
  <c r="D99" i="13"/>
  <c r="D147" i="13"/>
  <c r="C110" i="13"/>
  <c r="C176" i="13"/>
  <c r="S63" i="12"/>
  <c r="T63" i="12" s="1"/>
  <c r="U63" i="12" s="1"/>
  <c r="C131" i="13"/>
  <c r="S61" i="12"/>
  <c r="T61" i="12" s="1"/>
  <c r="U61" i="12" s="1"/>
  <c r="S136" i="12"/>
  <c r="T136" i="12" s="1"/>
  <c r="U136" i="12" s="1"/>
  <c r="D62" i="13"/>
  <c r="S113" i="12"/>
  <c r="T113" i="12" s="1"/>
  <c r="U113" i="12" s="1"/>
  <c r="C60" i="13"/>
  <c r="D49" i="13"/>
  <c r="D167" i="13"/>
  <c r="D170" i="13"/>
  <c r="D41" i="13"/>
  <c r="C27" i="13"/>
  <c r="D134" i="13"/>
  <c r="S103" i="12"/>
  <c r="T103" i="12" s="1"/>
  <c r="U103" i="12" s="1"/>
  <c r="S219" i="12"/>
  <c r="T219" i="12" s="1"/>
  <c r="U219" i="12" s="1"/>
  <c r="D240" i="13"/>
  <c r="S199" i="12"/>
  <c r="T199" i="12" s="1"/>
  <c r="U199" i="12" s="1"/>
  <c r="D47" i="13"/>
  <c r="D119" i="13"/>
  <c r="C173" i="13"/>
  <c r="C186" i="13"/>
  <c r="D214" i="13"/>
  <c r="S200" i="12"/>
  <c r="T200" i="12" s="1"/>
  <c r="U200" i="12" s="1"/>
  <c r="C217" i="13"/>
  <c r="S183" i="12"/>
  <c r="T183" i="12" s="1"/>
  <c r="U183" i="12" s="1"/>
  <c r="D144" i="13"/>
  <c r="D69" i="13"/>
  <c r="S148" i="12"/>
  <c r="T148" i="12" s="1"/>
  <c r="U148" i="12" s="1"/>
  <c r="S105" i="12"/>
  <c r="T105" i="12" s="1"/>
  <c r="U105" i="12" s="1"/>
  <c r="C163" i="13"/>
  <c r="S135" i="12"/>
  <c r="T135" i="12" s="1"/>
  <c r="U135" i="12" s="1"/>
  <c r="S225" i="12"/>
  <c r="T225" i="12" s="1"/>
  <c r="U225" i="12" s="1"/>
  <c r="C34" i="13"/>
  <c r="C213" i="13"/>
  <c r="S171" i="12"/>
  <c r="T171" i="12" s="1"/>
  <c r="U171" i="12" s="1"/>
  <c r="D81" i="13"/>
  <c r="D68" i="13"/>
  <c r="D178" i="13"/>
  <c r="D181" i="13"/>
  <c r="D16" i="13"/>
  <c r="D195" i="13"/>
  <c r="C115" i="13"/>
  <c r="D168" i="13"/>
  <c r="S30" i="12"/>
  <c r="T30" i="12" s="1"/>
  <c r="U30" i="12" s="1"/>
  <c r="C182" i="13"/>
  <c r="D130" i="13"/>
  <c r="C180" i="13"/>
  <c r="S106" i="12"/>
  <c r="T106" i="12" s="1"/>
  <c r="U106" i="12" s="1"/>
  <c r="C71" i="13"/>
  <c r="C64" i="13"/>
  <c r="C179" i="13"/>
  <c r="C206" i="13"/>
  <c r="D141" i="13"/>
  <c r="S77" i="12"/>
  <c r="T77" i="12" s="1"/>
  <c r="U77" i="12" s="1"/>
  <c r="C121" i="13"/>
  <c r="S90" i="12"/>
  <c r="T90" i="12" s="1"/>
  <c r="U90" i="12" s="1"/>
  <c r="C152" i="13"/>
  <c r="S85" i="12"/>
  <c r="T85" i="12" s="1"/>
  <c r="T84" i="12" s="1"/>
  <c r="U84" i="12" s="1"/>
  <c r="S17" i="12"/>
  <c r="T17" i="12" s="1"/>
  <c r="U17" i="12" s="1"/>
  <c r="C197" i="13"/>
  <c r="S155" i="12"/>
  <c r="T155" i="12" s="1"/>
  <c r="U155" i="12" s="1"/>
  <c r="C203" i="13"/>
  <c r="D102" i="13"/>
  <c r="C126" i="13"/>
  <c r="C137" i="13"/>
  <c r="S88" i="12"/>
  <c r="T88" i="12" s="1"/>
  <c r="U88" i="12" s="1"/>
  <c r="S127" i="12"/>
  <c r="T127" i="12" s="1"/>
  <c r="U127" i="12" s="1"/>
  <c r="S207" i="12"/>
  <c r="T207" i="12" s="1"/>
  <c r="U207" i="12" s="1"/>
  <c r="C122" i="13"/>
  <c r="D73" i="13"/>
  <c r="D118" i="13"/>
  <c r="D161" i="13"/>
  <c r="D44" i="13"/>
  <c r="S145" i="12"/>
  <c r="T145" i="12" s="1"/>
  <c r="U145" i="12" s="1"/>
  <c r="D57" i="13"/>
  <c r="C166" i="13"/>
  <c r="D83" i="13"/>
  <c r="C22" i="13"/>
  <c r="C18" i="13"/>
  <c r="S75" i="12"/>
  <c r="T75" i="12" s="1"/>
  <c r="U75" i="12" s="1"/>
  <c r="S153" i="12"/>
  <c r="T153" i="12" s="1"/>
  <c r="U153" i="12" s="1"/>
  <c r="D111" i="13"/>
  <c r="C40" i="13"/>
  <c r="S177" i="12"/>
  <c r="T177" i="12" s="1"/>
  <c r="U177" i="12" s="1"/>
  <c r="D198" i="13"/>
  <c r="S159" i="12"/>
  <c r="T159" i="12" s="1"/>
  <c r="U159" i="12" s="1"/>
  <c r="C26" i="13"/>
  <c r="D227" i="13"/>
  <c r="S29" i="12"/>
  <c r="T29" i="12" s="1"/>
  <c r="U29" i="12" s="1"/>
  <c r="D140" i="13"/>
  <c r="C235" i="13"/>
  <c r="C117" i="13"/>
  <c r="S95" i="12"/>
  <c r="T95" i="12" s="1"/>
  <c r="U95" i="12" s="1"/>
  <c r="S154" i="12"/>
  <c r="T154" i="12" s="1"/>
  <c r="U154" i="12" s="1"/>
  <c r="D67" i="13"/>
  <c r="D80" i="13"/>
  <c r="S191" i="12"/>
  <c r="T191" i="12" s="1"/>
  <c r="U191" i="12" s="1"/>
  <c r="D116" i="13"/>
  <c r="D218" i="13"/>
  <c r="D165" i="13"/>
  <c r="C37" i="13"/>
  <c r="C120" i="13"/>
  <c r="D151" i="13"/>
  <c r="D185" i="13"/>
  <c r="S216" i="12"/>
  <c r="T216" i="12" s="1"/>
  <c r="U216" i="12" s="1"/>
  <c r="S146" i="12"/>
  <c r="T146" i="12" s="1"/>
  <c r="U146" i="12" s="1"/>
  <c r="C139" i="13"/>
  <c r="S66" i="12"/>
  <c r="T66" i="12" s="1"/>
  <c r="C238" i="13"/>
  <c r="S133" i="12"/>
  <c r="T133" i="12" s="1"/>
  <c r="U133" i="12" s="1"/>
  <c r="D190" i="13"/>
  <c r="D138" i="13"/>
  <c r="S175" i="12"/>
  <c r="T175" i="12" s="1"/>
  <c r="U175" i="12" s="1"/>
  <c r="C52" i="13"/>
  <c r="C79" i="13"/>
  <c r="S212" i="12"/>
  <c r="T212" i="12" s="1"/>
  <c r="U212" i="12" s="1"/>
  <c r="D20" i="13"/>
  <c r="S157" i="12"/>
  <c r="T157" i="12" s="1"/>
  <c r="U157" i="12" s="1"/>
  <c r="D132" i="13"/>
  <c r="S92" i="12"/>
  <c r="T92" i="12" s="1"/>
  <c r="U92" i="12" s="1"/>
  <c r="D74" i="13"/>
  <c r="C58" i="13"/>
  <c r="C99" i="13"/>
  <c r="S147" i="12"/>
  <c r="T147" i="12" s="1"/>
  <c r="U147" i="12" s="1"/>
  <c r="D209" i="13"/>
  <c r="D176" i="13"/>
  <c r="D63" i="13"/>
  <c r="D59" i="13"/>
  <c r="D61" i="13"/>
  <c r="C136" i="13"/>
  <c r="S48" i="12"/>
  <c r="T48" i="12" s="1"/>
  <c r="U48" i="12" s="1"/>
  <c r="D113" i="13"/>
  <c r="S60" i="12"/>
  <c r="T60" i="12" s="1"/>
  <c r="U60" i="12" s="1"/>
  <c r="D128" i="13"/>
  <c r="D192" i="13"/>
  <c r="D96" i="13"/>
  <c r="C41" i="13"/>
  <c r="D27" i="13"/>
  <c r="D220" i="13"/>
  <c r="D103" i="13"/>
  <c r="C219" i="13"/>
  <c r="C164" i="13"/>
  <c r="C199" i="13"/>
  <c r="C47" i="13"/>
  <c r="D236" i="13"/>
  <c r="D173" i="13"/>
  <c r="S186" i="12"/>
  <c r="T186" i="12" s="1"/>
  <c r="U186" i="12" s="1"/>
  <c r="C158" i="13"/>
  <c r="D200" i="13"/>
  <c r="D217" i="13"/>
  <c r="D215" i="13"/>
  <c r="C144" i="13"/>
  <c r="S69" i="12"/>
  <c r="T69" i="12" s="1"/>
  <c r="U69" i="12" s="1"/>
  <c r="C224" i="13"/>
  <c r="D105" i="13"/>
  <c r="S28" i="12"/>
  <c r="T28" i="12" s="1"/>
  <c r="U28" i="12" s="1"/>
  <c r="D135" i="13"/>
  <c r="C232" i="13"/>
  <c r="D34" i="13"/>
  <c r="S213" i="12"/>
  <c r="T213" i="12" s="1"/>
  <c r="U213" i="12" s="1"/>
  <c r="C226" i="13"/>
  <c r="S81" i="12"/>
  <c r="T81" i="12" s="1"/>
  <c r="U81" i="12" s="1"/>
  <c r="S68" i="12"/>
  <c r="T68" i="12" s="1"/>
  <c r="U68" i="12" s="1"/>
  <c r="S53" i="12"/>
  <c r="T53" i="12" s="1"/>
  <c r="U53" i="12" s="1"/>
  <c r="C181" i="13"/>
  <c r="D162" i="13"/>
  <c r="D184" i="13"/>
  <c r="S115" i="12"/>
  <c r="T115" i="12" s="1"/>
  <c r="U115" i="12" s="1"/>
  <c r="C211" i="13"/>
  <c r="C30" i="13"/>
  <c r="S182" i="12"/>
  <c r="T182" i="12" s="1"/>
  <c r="U182" i="12" s="1"/>
  <c r="C82" i="13"/>
  <c r="D180" i="13"/>
  <c r="D106" i="13"/>
  <c r="C114" i="13"/>
  <c r="S64" i="12"/>
  <c r="T64" i="12" s="1"/>
  <c r="U64" i="12" s="1"/>
  <c r="S179" i="12"/>
  <c r="T179" i="12" s="1"/>
  <c r="U179" i="12" s="1"/>
  <c r="S208" i="12"/>
  <c r="T208" i="12" s="1"/>
  <c r="U208" i="12" s="1"/>
  <c r="C141" i="13"/>
  <c r="C77" i="13"/>
  <c r="D223" i="13"/>
  <c r="D90" i="13"/>
  <c r="D152" i="13"/>
  <c r="D125" i="13"/>
  <c r="C17" i="13"/>
  <c r="D197" i="13"/>
  <c r="D91" i="13"/>
  <c r="S203" i="12"/>
  <c r="T203" i="12" s="1"/>
  <c r="U203" i="12" s="1"/>
  <c r="S102" i="12"/>
  <c r="T102" i="12" s="1"/>
  <c r="U102" i="12" s="1"/>
  <c r="S19" i="12"/>
  <c r="T19" i="12" s="1"/>
  <c r="U19" i="12" s="1"/>
  <c r="S137" i="12"/>
  <c r="T137" i="12" s="1"/>
  <c r="U137" i="12" s="1"/>
  <c r="C88" i="13"/>
  <c r="D25" i="13"/>
  <c r="C207" i="13"/>
  <c r="S122" i="12"/>
  <c r="T122" i="12" s="1"/>
  <c r="U122" i="12" s="1"/>
  <c r="S109" i="12"/>
  <c r="T109" i="12" s="1"/>
  <c r="U109" i="12" s="1"/>
  <c r="S118" i="12"/>
  <c r="T118" i="12" s="1"/>
  <c r="U118" i="12" s="1"/>
  <c r="D50" i="13"/>
  <c r="D108" i="13"/>
  <c r="C196" i="13"/>
  <c r="D145" i="13"/>
  <c r="C57" i="13"/>
  <c r="S166" i="12"/>
  <c r="T166" i="12" s="1"/>
  <c r="U166" i="12" s="1"/>
  <c r="S83" i="12"/>
  <c r="T83" i="12" s="1"/>
  <c r="U83" i="12" s="1"/>
  <c r="C156" i="13"/>
  <c r="D18" i="13"/>
  <c r="C75" i="13"/>
  <c r="C143" i="13"/>
  <c r="C111" i="13"/>
  <c r="S40" i="12"/>
  <c r="T40" i="12" s="1"/>
  <c r="U40" i="12" s="1"/>
  <c r="S228" i="12"/>
  <c r="T228" i="12" s="1"/>
  <c r="U228" i="12" s="1"/>
  <c r="S198" i="12"/>
  <c r="T198" i="12" s="1"/>
  <c r="U198" i="12" s="1"/>
  <c r="D159" i="13"/>
  <c r="C231" i="13"/>
  <c r="S227" i="12"/>
  <c r="T227" i="12" s="1"/>
  <c r="U227" i="12" s="1"/>
  <c r="D29" i="13"/>
  <c r="C193" i="13"/>
  <c r="D235" i="13"/>
  <c r="D117" i="13"/>
  <c r="S233" i="12"/>
  <c r="T233" i="12" s="1"/>
  <c r="U233" i="12" s="1"/>
  <c r="D154" i="13"/>
  <c r="C67" i="13"/>
  <c r="D229" i="13"/>
  <c r="D191" i="13"/>
  <c r="C234" i="13"/>
  <c r="S218" i="12"/>
  <c r="T218" i="12" s="1"/>
  <c r="U218" i="12" s="1"/>
  <c r="C165" i="13"/>
  <c r="D76" i="13"/>
  <c r="D120" i="13"/>
  <c r="D129" i="13"/>
  <c r="D202" i="13"/>
  <c r="D216" i="13"/>
  <c r="S56" i="12"/>
  <c r="T56" i="12" s="1"/>
  <c r="U56" i="12" s="1"/>
  <c r="D139" i="13"/>
  <c r="D66" i="13"/>
  <c r="S70" i="12"/>
  <c r="T70" i="12" s="1"/>
  <c r="U70" i="12" s="1"/>
  <c r="D133" i="13"/>
  <c r="S190" i="12"/>
  <c r="T190" i="12" s="1"/>
  <c r="U190" i="12" s="1"/>
  <c r="D124" i="13"/>
  <c r="C175" i="13"/>
  <c r="S52" i="12"/>
  <c r="T52" i="12" s="1"/>
  <c r="S172" i="12"/>
  <c r="T172" i="12" s="1"/>
  <c r="U172" i="12" s="1"/>
  <c r="C212" i="13"/>
  <c r="S20" i="12"/>
  <c r="T20" i="12" s="1"/>
  <c r="U20" i="12" s="1"/>
  <c r="S142" i="12"/>
  <c r="T142" i="12" s="1"/>
  <c r="U142" i="12" s="1"/>
  <c r="S132" i="12"/>
  <c r="T132" i="12" s="1"/>
  <c r="U132" i="12" s="1"/>
  <c r="D92" i="13"/>
  <c r="S123" i="12"/>
  <c r="T123" i="12" s="1"/>
  <c r="U123" i="12" s="1"/>
  <c r="D58" i="13"/>
  <c r="S99" i="12"/>
  <c r="T99" i="12" s="1"/>
  <c r="U99" i="12" s="1"/>
  <c r="S110" i="12"/>
  <c r="T110" i="12" s="1"/>
  <c r="U110" i="12" s="1"/>
  <c r="C209" i="13"/>
  <c r="S176" i="12"/>
  <c r="T176" i="12" s="1"/>
  <c r="U176" i="12" s="1"/>
  <c r="D131" i="13"/>
  <c r="S59" i="12"/>
  <c r="T59" i="12" s="1"/>
  <c r="U59" i="12" s="1"/>
  <c r="C61" i="13"/>
  <c r="C62" i="13"/>
  <c r="C48" i="13"/>
  <c r="C113" i="13"/>
  <c r="C49" i="13"/>
  <c r="S128" i="12"/>
  <c r="T128" i="12" s="1"/>
  <c r="U128" i="12" s="1"/>
  <c r="D36" i="13"/>
  <c r="D241" i="13"/>
  <c r="S41" i="12"/>
  <c r="T41" i="12" s="1"/>
  <c r="U41" i="12" s="1"/>
  <c r="C134" i="13"/>
  <c r="C220" i="13"/>
  <c r="C103" i="13"/>
  <c r="S240" i="12"/>
  <c r="T240" i="12" s="1"/>
  <c r="U240" i="12" s="1"/>
  <c r="S164" i="12"/>
  <c r="T164" i="12" s="1"/>
  <c r="U164" i="12" s="1"/>
  <c r="D199" i="13"/>
  <c r="C119" i="13"/>
  <c r="S236" i="12"/>
  <c r="T236" i="12" s="1"/>
  <c r="U236" i="12" s="1"/>
  <c r="S173" i="12"/>
  <c r="T173" i="12" s="1"/>
  <c r="U173" i="12" s="1"/>
  <c r="C214" i="13"/>
  <c r="D158" i="13"/>
  <c r="C200" i="13"/>
  <c r="C183" i="13"/>
  <c r="S215" i="12"/>
  <c r="T215" i="12" s="1"/>
  <c r="U215" i="12" s="1"/>
  <c r="S144" i="12"/>
  <c r="T144" i="12" s="1"/>
  <c r="U144" i="12" s="1"/>
  <c r="C148" i="13"/>
  <c r="D224" i="13"/>
  <c r="S163" i="12"/>
  <c r="T163" i="12" s="1"/>
  <c r="U163" i="12" s="1"/>
  <c r="D28" i="13"/>
  <c r="D225" i="13"/>
  <c r="D232" i="13"/>
  <c r="S34" i="12"/>
  <c r="T34" i="12" s="1"/>
  <c r="U34" i="12" s="1"/>
  <c r="D171" i="13"/>
  <c r="S226" i="12"/>
  <c r="T226" i="12" s="1"/>
  <c r="U226" i="12" s="1"/>
  <c r="C81" i="13"/>
  <c r="C178" i="13"/>
  <c r="D53" i="13"/>
  <c r="S181" i="12"/>
  <c r="T181" i="12" s="1"/>
  <c r="U181" i="12" s="1"/>
  <c r="D45" i="13"/>
  <c r="D204" i="13"/>
  <c r="C168" i="13"/>
  <c r="S211" i="12"/>
  <c r="T211" i="12" s="1"/>
  <c r="U211" i="12" s="1"/>
  <c r="D30" i="13"/>
  <c r="C130" i="13"/>
  <c r="S82" i="12"/>
  <c r="T82" i="12" s="1"/>
  <c r="U82" i="12" s="1"/>
  <c r="S180" i="12"/>
  <c r="T180" i="12" s="1"/>
  <c r="U180" i="12" s="1"/>
  <c r="S71" i="12"/>
  <c r="T71" i="12" s="1"/>
  <c r="U71" i="12" s="1"/>
  <c r="D114" i="13"/>
  <c r="D64" i="13"/>
  <c r="D206" i="13"/>
  <c r="C208" i="13"/>
  <c r="S141" i="12"/>
  <c r="T141" i="12" s="1"/>
  <c r="U141" i="12" s="1"/>
  <c r="S121" i="12"/>
  <c r="T121" i="12" s="1"/>
  <c r="U121" i="12" s="1"/>
  <c r="C223" i="13"/>
  <c r="C90" i="13"/>
  <c r="C85" i="13"/>
  <c r="S125" i="12"/>
  <c r="T125" i="12" s="1"/>
  <c r="U125" i="12" s="1"/>
  <c r="D17" i="13"/>
  <c r="C155" i="13"/>
  <c r="S91" i="12"/>
  <c r="T91" i="12" s="1"/>
  <c r="U91" i="12" s="1"/>
  <c r="D203" i="13"/>
  <c r="S126" i="12"/>
  <c r="T126" i="12" s="1"/>
  <c r="U126" i="12" s="1"/>
  <c r="C19" i="13"/>
  <c r="D137" i="13"/>
  <c r="D127" i="13"/>
  <c r="C25" i="13"/>
  <c r="D207" i="13"/>
  <c r="S73" i="12"/>
  <c r="T73" i="12" s="1"/>
  <c r="U73" i="12" s="1"/>
  <c r="C109" i="13"/>
  <c r="C118" i="13"/>
  <c r="D169" i="13"/>
  <c r="D33" i="13"/>
  <c r="S196" i="12"/>
  <c r="T196" i="12" s="1"/>
  <c r="U196" i="12" s="1"/>
  <c r="C145" i="13"/>
  <c r="D239" i="13"/>
  <c r="D166" i="13"/>
  <c r="S22" i="12"/>
  <c r="T22" i="12" s="1"/>
  <c r="U22" i="12" s="1"/>
  <c r="S156" i="12"/>
  <c r="T156" i="12" s="1"/>
  <c r="U156" i="12" s="1"/>
  <c r="S18" i="12"/>
  <c r="T18" i="12" s="1"/>
  <c r="U18" i="12" s="1"/>
  <c r="D153" i="13"/>
  <c r="D143" i="13"/>
  <c r="S111" i="12"/>
  <c r="T111" i="12" s="1"/>
  <c r="U111" i="12" s="1"/>
  <c r="C177" i="13"/>
  <c r="D228" i="13"/>
  <c r="C198" i="13"/>
  <c r="D26" i="13"/>
  <c r="D231" i="13"/>
  <c r="C227" i="13"/>
  <c r="C140" i="13"/>
  <c r="D193" i="13"/>
  <c r="S235" i="12"/>
  <c r="T235" i="12" s="1"/>
  <c r="U235" i="12" s="1"/>
  <c r="D95" i="13"/>
  <c r="C233" i="13"/>
  <c r="C154" i="13"/>
  <c r="C80" i="13"/>
  <c r="C229" i="13"/>
  <c r="C116" i="13"/>
  <c r="S234" i="12"/>
  <c r="T234" i="12" s="1"/>
  <c r="U234" i="12" s="1"/>
  <c r="C218" i="13"/>
  <c r="S37" i="12"/>
  <c r="T37" i="12" s="1"/>
  <c r="U37" i="12" s="1"/>
  <c r="S76" i="12"/>
  <c r="T76" i="12" s="1"/>
  <c r="U76" i="12" s="1"/>
  <c r="S120" i="12"/>
  <c r="T120" i="12" s="1"/>
  <c r="U120" i="12" s="1"/>
  <c r="D97" i="13"/>
  <c r="D174" i="13"/>
  <c r="D146" i="13"/>
  <c r="D56" i="13"/>
  <c r="S139" i="12"/>
  <c r="T139" i="12" s="1"/>
  <c r="U139" i="12" s="1"/>
  <c r="S238" i="12"/>
  <c r="T238" i="12" s="1"/>
  <c r="U238" i="12" s="1"/>
  <c r="C70" i="13"/>
  <c r="C133" i="13"/>
  <c r="C138" i="13"/>
  <c r="C124" i="13"/>
  <c r="D175" i="13"/>
  <c r="D79" i="13"/>
  <c r="D172" i="13"/>
  <c r="D212" i="13"/>
  <c r="C157" i="13"/>
  <c r="C142" i="13"/>
  <c r="C132" i="13"/>
  <c r="C74" i="13"/>
  <c r="C123" i="13"/>
  <c r="S58" i="12"/>
  <c r="T58" i="12" s="1"/>
  <c r="U58" i="12" s="1"/>
  <c r="C147" i="13"/>
  <c r="D110" i="13"/>
  <c r="S209" i="12"/>
  <c r="T209" i="12" s="1"/>
  <c r="U209" i="12" s="1"/>
  <c r="C63" i="13"/>
  <c r="S131" i="12"/>
  <c r="T131" i="12" s="1"/>
  <c r="U131" i="12" s="1"/>
  <c r="C59" i="13"/>
  <c r="D136" i="13"/>
  <c r="S62" i="12"/>
  <c r="T62" i="12" s="1"/>
  <c r="U62" i="12" s="1"/>
  <c r="D48" i="13"/>
  <c r="D60" i="13"/>
  <c r="S49" i="12"/>
  <c r="T49" i="12" s="1"/>
  <c r="U49" i="12" s="1"/>
  <c r="C128" i="13"/>
  <c r="D98" i="13"/>
  <c r="D189" i="13"/>
  <c r="S27" i="12"/>
  <c r="T27" i="12" s="1"/>
  <c r="U27" i="12" s="1"/>
  <c r="S134" i="12"/>
  <c r="T134" i="12" s="1"/>
  <c r="U134" i="12" s="1"/>
  <c r="S220" i="12"/>
  <c r="T220" i="12" s="1"/>
  <c r="U220" i="12" s="1"/>
  <c r="D219" i="13"/>
  <c r="C240" i="13"/>
  <c r="D164" i="13"/>
  <c r="S47" i="12"/>
  <c r="T47" i="12" s="1"/>
  <c r="U47" i="12" s="1"/>
  <c r="S119" i="12"/>
  <c r="T119" i="12" s="1"/>
  <c r="U119" i="12" s="1"/>
  <c r="C236" i="13"/>
  <c r="D186" i="13"/>
  <c r="S214" i="12"/>
  <c r="T214" i="12" s="1"/>
  <c r="U214" i="12" s="1"/>
  <c r="S158" i="12"/>
  <c r="T158" i="12" s="1"/>
  <c r="U158" i="12" s="1"/>
  <c r="S217" i="12"/>
  <c r="T217" i="12" s="1"/>
  <c r="U217" i="12" s="1"/>
  <c r="D183" i="13"/>
  <c r="C215" i="13"/>
  <c r="C69" i="13"/>
  <c r="D148" i="13"/>
  <c r="S224" i="12"/>
  <c r="T224" i="12" s="1"/>
  <c r="U224" i="12" s="1"/>
  <c r="C105" i="13"/>
  <c r="D163" i="13"/>
  <c r="C135" i="13"/>
  <c r="C225" i="13"/>
  <c r="S232" i="12"/>
  <c r="T232" i="12" s="1"/>
  <c r="U232" i="12" s="1"/>
  <c r="D213" i="13"/>
  <c r="C171" i="13"/>
  <c r="D226" i="13"/>
  <c r="C68" i="13"/>
  <c r="S178" i="12"/>
  <c r="T178" i="12" s="1"/>
  <c r="U178" i="12" s="1"/>
  <c r="C53" i="13"/>
  <c r="D160" i="13"/>
  <c r="D221" i="13"/>
  <c r="D115" i="13"/>
  <c r="S168" i="12"/>
  <c r="T168" i="12" s="1"/>
  <c r="U168" i="12" s="1"/>
  <c r="D211" i="13"/>
  <c r="D182" i="13"/>
  <c r="S130" i="12"/>
  <c r="T130" i="12" s="1"/>
  <c r="U130" i="12" s="1"/>
  <c r="D82" i="13"/>
  <c r="C106" i="13"/>
  <c r="D71" i="13"/>
  <c r="S114" i="12"/>
  <c r="T114" i="12" s="1"/>
  <c r="U114" i="12" s="1"/>
  <c r="D179" i="13"/>
  <c r="S206" i="12"/>
  <c r="T206" i="12" s="1"/>
  <c r="U206" i="12" s="1"/>
  <c r="D208" i="13"/>
  <c r="D77" i="13"/>
  <c r="D121" i="13"/>
  <c r="S223" i="12"/>
  <c r="T223" i="12" s="1"/>
  <c r="U223" i="12" s="1"/>
  <c r="S152" i="12"/>
  <c r="T152" i="12" s="1"/>
  <c r="U152" i="12" s="1"/>
  <c r="D85" i="13"/>
  <c r="C125" i="13"/>
  <c r="S197" i="12"/>
  <c r="T197" i="12" s="1"/>
  <c r="U197" i="12" s="1"/>
  <c r="D155" i="13"/>
  <c r="C91" i="13"/>
  <c r="C102" i="13"/>
  <c r="D126" i="13"/>
  <c r="D19" i="13"/>
  <c r="D88" i="13"/>
  <c r="C127" i="13"/>
  <c r="S25" i="12"/>
  <c r="T25" i="12" s="1"/>
  <c r="U25" i="12" s="1"/>
  <c r="D122" i="13"/>
  <c r="C73" i="13"/>
  <c r="D109" i="13"/>
  <c r="D149" i="13"/>
  <c r="D93" i="13"/>
  <c r="C241" i="13"/>
  <c r="C96" i="13"/>
  <c r="C189" i="13"/>
  <c r="C93" i="13"/>
  <c r="C167" i="13"/>
  <c r="C98" i="13"/>
  <c r="C150" i="13"/>
  <c r="C108" i="13"/>
  <c r="C170" i="13"/>
  <c r="C221" i="13"/>
  <c r="C202" i="13"/>
  <c r="C45" i="13"/>
  <c r="C162" i="13"/>
  <c r="C204" i="13"/>
  <c r="C169" i="13"/>
  <c r="C44" i="13"/>
  <c r="C192" i="13"/>
  <c r="C151" i="13"/>
  <c r="C195" i="13"/>
  <c r="C50" i="13"/>
  <c r="C149" i="13"/>
  <c r="C184" i="13"/>
  <c r="C97" i="13"/>
  <c r="C129" i="13"/>
  <c r="C16" i="13"/>
  <c r="C185" i="13"/>
  <c r="C161" i="13"/>
  <c r="C21" i="13"/>
  <c r="C160" i="13"/>
  <c r="C174" i="13"/>
  <c r="C36" i="13"/>
  <c r="C33" i="13"/>
  <c r="C39" i="13"/>
  <c r="U79" i="12"/>
  <c r="U66" i="12"/>
  <c r="T65" i="12" l="1"/>
  <c r="U65" i="12" s="1"/>
  <c r="T104" i="12"/>
  <c r="U104" i="12" s="1"/>
  <c r="T78" i="12"/>
  <c r="T222" i="12"/>
  <c r="U222" i="12" s="1"/>
  <c r="T24" i="12"/>
  <c r="U24" i="12" s="1"/>
  <c r="T51" i="12"/>
  <c r="U51" i="12" s="1"/>
  <c r="T55" i="12"/>
  <c r="U55" i="12" s="1"/>
  <c r="U52" i="12"/>
  <c r="T72" i="12"/>
  <c r="U72" i="12" s="1"/>
  <c r="T101" i="12"/>
  <c r="U101" i="12" s="1"/>
  <c r="U85" i="12"/>
  <c r="T54" i="12"/>
  <c r="U54" i="12" s="1"/>
  <c r="T230" i="12"/>
  <c r="T205" i="12"/>
  <c r="U205" i="12" s="1"/>
  <c r="S39" i="12"/>
  <c r="T39" i="12" s="1"/>
  <c r="T38" i="12" s="1"/>
  <c r="U38" i="12" s="1"/>
  <c r="S162" i="12"/>
  <c r="T162" i="12" s="1"/>
  <c r="U162" i="12" s="1"/>
  <c r="U78" i="12" l="1"/>
  <c r="U230" i="12"/>
  <c r="S174" i="12"/>
  <c r="T174" i="12" s="1"/>
  <c r="U174" i="12" s="1"/>
  <c r="S241" i="12"/>
  <c r="T241" i="12" s="1"/>
  <c r="S185" i="12"/>
  <c r="T185" i="12" s="1"/>
  <c r="U185" i="12" s="1"/>
  <c r="S161" i="12"/>
  <c r="T161" i="12" s="1"/>
  <c r="U161" i="12" s="1"/>
  <c r="S184" i="12"/>
  <c r="T184" i="12" s="1"/>
  <c r="U184" i="12" s="1"/>
  <c r="S195" i="12"/>
  <c r="T195" i="12" s="1"/>
  <c r="U195" i="12" s="1"/>
  <c r="S21" i="12"/>
  <c r="T21" i="12" s="1"/>
  <c r="U21" i="12" s="1"/>
  <c r="S98" i="12"/>
  <c r="T98" i="12" s="1"/>
  <c r="U98" i="12" s="1"/>
  <c r="S170" i="12"/>
  <c r="T170" i="12" s="1"/>
  <c r="U170" i="12" s="1"/>
  <c r="U39" i="12"/>
  <c r="S108" i="12"/>
  <c r="T108" i="12" s="1"/>
  <c r="T107" i="12" s="1"/>
  <c r="S50" i="12"/>
  <c r="T50" i="12" s="1"/>
  <c r="U50" i="12" s="1"/>
  <c r="S93" i="12"/>
  <c r="T93" i="12" s="1"/>
  <c r="S96" i="12"/>
  <c r="T96" i="12" s="1"/>
  <c r="U96" i="12" s="1"/>
  <c r="S160" i="12"/>
  <c r="T160" i="12" s="1"/>
  <c r="U160" i="12" s="1"/>
  <c r="S97" i="12"/>
  <c r="T97" i="12" s="1"/>
  <c r="U97" i="12" s="1"/>
  <c r="S169" i="12"/>
  <c r="T169" i="12" s="1"/>
  <c r="U169" i="12" s="1"/>
  <c r="S16" i="12"/>
  <c r="T16" i="12" s="1"/>
  <c r="S36" i="12"/>
  <c r="T36" i="12" s="1"/>
  <c r="U36" i="12" s="1"/>
  <c r="S33" i="12"/>
  <c r="T33" i="12" s="1"/>
  <c r="U33" i="12" s="1"/>
  <c r="S149" i="12"/>
  <c r="T149" i="12" s="1"/>
  <c r="U149" i="12" s="1"/>
  <c r="S151" i="12"/>
  <c r="T151" i="12" s="1"/>
  <c r="U151" i="12" s="1"/>
  <c r="S44" i="12"/>
  <c r="T44" i="12" s="1"/>
  <c r="U44" i="12" s="1"/>
  <c r="S129" i="12"/>
  <c r="T129" i="12" s="1"/>
  <c r="U129" i="12" s="1"/>
  <c r="U93" i="12" l="1"/>
  <c r="T87" i="12"/>
  <c r="U87" i="12" s="1"/>
  <c r="T14" i="12"/>
  <c r="U14" i="12" s="1"/>
  <c r="U16" i="12"/>
  <c r="U107" i="12"/>
  <c r="U241" i="12"/>
  <c r="S189" i="12"/>
  <c r="T189" i="12" s="1"/>
  <c r="U189" i="12" s="1"/>
  <c r="T237" i="12"/>
  <c r="K50" i="11" s="1"/>
  <c r="N48" i="11" s="1"/>
  <c r="T194" i="12"/>
  <c r="S221" i="12"/>
  <c r="T221" i="12" s="1"/>
  <c r="T210" i="12" s="1"/>
  <c r="S167" i="12"/>
  <c r="T167" i="12" s="1"/>
  <c r="U167" i="12" s="1"/>
  <c r="T46" i="12"/>
  <c r="U46" i="12" s="1"/>
  <c r="S45" i="12"/>
  <c r="T45" i="12" s="1"/>
  <c r="U45" i="12" s="1"/>
  <c r="S192" i="12"/>
  <c r="T192" i="12" s="1"/>
  <c r="U192" i="12" s="1"/>
  <c r="T89" i="12"/>
  <c r="T32" i="12"/>
  <c r="U32" i="12" s="1"/>
  <c r="T94" i="12"/>
  <c r="T100" i="12"/>
  <c r="U108" i="12"/>
  <c r="S150" i="12"/>
  <c r="T150" i="12" s="1"/>
  <c r="U150" i="12" s="1"/>
  <c r="T86" i="12"/>
  <c r="T35" i="12"/>
  <c r="U35" i="12" s="1"/>
  <c r="S204" i="12"/>
  <c r="T204" i="12" s="1"/>
  <c r="U204" i="12" s="1"/>
  <c r="S202" i="12"/>
  <c r="T202" i="12" s="1"/>
  <c r="T23" i="12"/>
  <c r="U23" i="12" s="1"/>
  <c r="T31" i="12"/>
  <c r="K47" i="11" l="1"/>
  <c r="N45" i="11" s="1"/>
  <c r="T13" i="12"/>
  <c r="U13" i="12" s="1"/>
  <c r="T188" i="12"/>
  <c r="U86" i="12"/>
  <c r="U89" i="12"/>
  <c r="U100" i="12"/>
  <c r="U94" i="12"/>
  <c r="U194" i="12"/>
  <c r="U210" i="12"/>
  <c r="U237" i="12"/>
  <c r="U31" i="12"/>
  <c r="K53" i="11"/>
  <c r="N51" i="11" s="1"/>
  <c r="Q53" i="11" s="1"/>
  <c r="U221" i="12"/>
  <c r="T42" i="12"/>
  <c r="T43" i="12"/>
  <c r="U43" i="12" s="1"/>
  <c r="T12" i="12"/>
  <c r="N14" i="11" s="1"/>
  <c r="T112" i="12"/>
  <c r="K32" i="11" s="1"/>
  <c r="N30" i="11" s="1"/>
  <c r="W32" i="11" s="1"/>
  <c r="T187" i="12"/>
  <c r="T201" i="12"/>
  <c r="U202" i="12"/>
  <c r="K26" i="11" l="1"/>
  <c r="N24" i="11" s="1"/>
  <c r="K29" i="11"/>
  <c r="N27" i="11" s="1"/>
  <c r="U29" i="11" s="1"/>
  <c r="K20" i="11"/>
  <c r="N18" i="11" s="1"/>
  <c r="K23" i="11"/>
  <c r="N21" i="11" s="1"/>
  <c r="U188" i="12"/>
  <c r="U42" i="12"/>
  <c r="U112" i="12"/>
  <c r="U201" i="12"/>
  <c r="K44" i="11"/>
  <c r="N42" i="11" s="1"/>
  <c r="S44" i="11" s="1"/>
  <c r="K38" i="11"/>
  <c r="N36" i="11" s="1"/>
  <c r="K35" i="11"/>
  <c r="N33" i="11" s="1"/>
  <c r="W53" i="11"/>
  <c r="V53" i="11"/>
  <c r="P53" i="11"/>
  <c r="S53" i="11"/>
  <c r="R53" i="11"/>
  <c r="U53" i="11"/>
  <c r="AC53" i="11"/>
  <c r="T53" i="11"/>
  <c r="T32" i="11"/>
  <c r="V32" i="11"/>
  <c r="Q32" i="11"/>
  <c r="S32" i="11"/>
  <c r="AC32" i="11"/>
  <c r="R32" i="11"/>
  <c r="P32" i="11"/>
  <c r="U32" i="11"/>
  <c r="K41" i="11"/>
  <c r="N39" i="11" s="1"/>
  <c r="AC41" i="11" s="1"/>
  <c r="U187" i="12"/>
  <c r="S29" i="11" l="1"/>
  <c r="T29" i="11"/>
  <c r="P29" i="11"/>
  <c r="AC29" i="11"/>
  <c r="V29" i="11"/>
  <c r="W29" i="11"/>
  <c r="R29" i="11"/>
  <c r="Q29" i="11"/>
  <c r="U5" i="12"/>
  <c r="AC44" i="11"/>
  <c r="U44" i="11"/>
  <c r="R44" i="11"/>
  <c r="W44" i="11"/>
  <c r="V44" i="11"/>
  <c r="P44" i="11"/>
  <c r="Q44" i="11"/>
  <c r="T44" i="11"/>
  <c r="P41" i="11"/>
  <c r="T41" i="11"/>
  <c r="U41" i="11"/>
  <c r="W41" i="11"/>
  <c r="R41" i="11"/>
  <c r="S41" i="11"/>
  <c r="Q41" i="11"/>
  <c r="V41" i="11"/>
  <c r="P19" i="11" l="1"/>
  <c r="Q19" i="11" s="1"/>
  <c r="R19" i="11" s="1"/>
  <c r="P25" i="11"/>
  <c r="Q25" i="11" s="1"/>
  <c r="P37" i="11"/>
  <c r="Q37" i="11" s="1"/>
  <c r="P49" i="11"/>
  <c r="P50" i="11" s="1"/>
  <c r="AC18" i="11"/>
  <c r="AC19" i="11" s="1"/>
  <c r="AC20" i="11" s="1"/>
  <c r="AC24" i="11"/>
  <c r="AC25" i="11" s="1"/>
  <c r="AC26" i="11" s="1"/>
  <c r="AC36" i="11"/>
  <c r="AC37" i="11" s="1"/>
  <c r="AC38" i="11" s="1"/>
  <c r="AC48" i="11"/>
  <c r="AC49" i="11" s="1"/>
  <c r="AC50" i="11" s="1"/>
  <c r="P20" i="11" l="1"/>
  <c r="P26" i="11"/>
  <c r="P38" i="11"/>
  <c r="Q20" i="11"/>
  <c r="Q49" i="11"/>
  <c r="R25" i="11"/>
  <c r="Q26" i="11"/>
  <c r="R37" i="11"/>
  <c r="Q38" i="11"/>
  <c r="S19" i="11"/>
  <c r="R20" i="11"/>
  <c r="Q33" i="11" l="1"/>
  <c r="R49" i="11"/>
  <c r="Q50" i="11"/>
  <c r="S37" i="11"/>
  <c r="R38" i="11"/>
  <c r="T19" i="11"/>
  <c r="S20" i="11"/>
  <c r="S25" i="11"/>
  <c r="R26" i="11"/>
  <c r="R21" i="11" l="1"/>
  <c r="S49" i="11"/>
  <c r="R50" i="11"/>
  <c r="T25" i="11"/>
  <c r="S26" i="11"/>
  <c r="S38" i="11"/>
  <c r="T37" i="11"/>
  <c r="U19" i="11"/>
  <c r="T20" i="11"/>
  <c r="T49" i="11" l="1"/>
  <c r="S50" i="11"/>
  <c r="T26" i="11"/>
  <c r="U25" i="11"/>
  <c r="V19" i="11"/>
  <c r="U20" i="11"/>
  <c r="U37" i="11"/>
  <c r="T38" i="11"/>
  <c r="U49" i="11" l="1"/>
  <c r="T50" i="11"/>
  <c r="W19" i="11"/>
  <c r="W20" i="11" s="1"/>
  <c r="V20" i="11"/>
  <c r="U26" i="11"/>
  <c r="V25" i="11"/>
  <c r="U38" i="11"/>
  <c r="V37" i="11"/>
  <c r="U50" i="11" l="1"/>
  <c r="V49" i="11"/>
  <c r="V26" i="11"/>
  <c r="W25" i="11"/>
  <c r="W26" i="11" s="1"/>
  <c r="V38" i="11"/>
  <c r="W37" i="11"/>
  <c r="W38" i="11" s="1"/>
  <c r="W33" i="11" l="1"/>
  <c r="W21" i="11"/>
  <c r="W49" i="11"/>
  <c r="W50" i="11" s="1"/>
  <c r="V50" i="11"/>
  <c r="W45" i="11" l="1"/>
  <c r="V21" i="11"/>
  <c r="U21" i="11"/>
  <c r="T21" i="11"/>
  <c r="S21" i="11"/>
  <c r="Q21" i="11"/>
  <c r="P22" i="11"/>
  <c r="P23" i="11" s="1"/>
  <c r="V33" i="11"/>
  <c r="U33" i="11"/>
  <c r="T33" i="11"/>
  <c r="S33" i="11"/>
  <c r="R33" i="11"/>
  <c r="P34" i="11"/>
  <c r="Q34" i="11" s="1"/>
  <c r="V45" i="11"/>
  <c r="U45" i="11"/>
  <c r="T45" i="11"/>
  <c r="S45" i="11"/>
  <c r="R45" i="11"/>
  <c r="Q45" i="11"/>
  <c r="P46" i="11"/>
  <c r="P47" i="11" s="1"/>
  <c r="AC21" i="11"/>
  <c r="AC22" i="11" s="1"/>
  <c r="AC23" i="11" s="1"/>
  <c r="AC33" i="11"/>
  <c r="AC34" i="11" s="1"/>
  <c r="AC35" i="11" s="1"/>
  <c r="AC45" i="11"/>
  <c r="AC46" i="11" s="1"/>
  <c r="AC47" i="11" s="1"/>
  <c r="Q46" i="11" l="1"/>
  <c r="Q47" i="11" s="1"/>
  <c r="AC17" i="11"/>
  <c r="AC16" i="11" s="1"/>
  <c r="R34" i="11"/>
  <c r="Q35" i="11"/>
  <c r="Q22" i="11"/>
  <c r="P35" i="11"/>
  <c r="P17" i="11" s="1"/>
  <c r="R46" i="11" l="1"/>
  <c r="AC15" i="11"/>
  <c r="AC14" i="11" s="1"/>
  <c r="P16" i="11"/>
  <c r="P15" i="11"/>
  <c r="P14" i="11" s="1"/>
  <c r="S34" i="11"/>
  <c r="R35" i="11"/>
  <c r="R22" i="11"/>
  <c r="Q23" i="11"/>
  <c r="Q17" i="11" s="1"/>
  <c r="R47" i="11" l="1"/>
  <c r="S46" i="11"/>
  <c r="Q15" i="11"/>
  <c r="Q14" i="11" s="1"/>
  <c r="Q16" i="11"/>
  <c r="S35" i="11"/>
  <c r="T34" i="11"/>
  <c r="R23" i="11"/>
  <c r="S22" i="11"/>
  <c r="R17" i="11" l="1"/>
  <c r="R15" i="11" s="1"/>
  <c r="R14" i="11" s="1"/>
  <c r="T46" i="11"/>
  <c r="S47" i="11"/>
  <c r="T35" i="11"/>
  <c r="U34" i="11"/>
  <c r="T22" i="11"/>
  <c r="S23" i="11"/>
  <c r="S17" i="11" s="1"/>
  <c r="R16" i="11" l="1"/>
  <c r="U46" i="11"/>
  <c r="T47" i="11"/>
  <c r="V34" i="11"/>
  <c r="U35" i="11"/>
  <c r="S16" i="11"/>
  <c r="S15" i="11"/>
  <c r="S14" i="11" s="1"/>
  <c r="T23" i="11"/>
  <c r="U22" i="11"/>
  <c r="T17" i="11" l="1"/>
  <c r="T16" i="11" s="1"/>
  <c r="U47" i="11"/>
  <c r="V46" i="11"/>
  <c r="W34" i="11"/>
  <c r="W35" i="11" s="1"/>
  <c r="V35" i="11"/>
  <c r="U23" i="11"/>
  <c r="U17" i="11" s="1"/>
  <c r="V22" i="11"/>
  <c r="T15" i="11" l="1"/>
  <c r="T14" i="11" s="1"/>
  <c r="V47" i="11"/>
  <c r="W46" i="11"/>
  <c r="W47" i="11" s="1"/>
  <c r="W22" i="11"/>
  <c r="W23" i="11" s="1"/>
  <c r="V23" i="11"/>
  <c r="U15" i="11"/>
  <c r="U14" i="11" s="1"/>
  <c r="U16" i="11"/>
  <c r="W17" i="11" l="1"/>
  <c r="W16" i="11" s="1"/>
  <c r="V17" i="11"/>
  <c r="V15" i="11" s="1"/>
  <c r="V14" i="11" s="1"/>
  <c r="L8" i="11" l="1"/>
  <c r="V16" i="11"/>
  <c r="W15" i="11"/>
  <c r="W14" i="11" s="1"/>
</calcChain>
</file>

<file path=xl/sharedStrings.xml><?xml version="1.0" encoding="utf-8"?>
<sst xmlns="http://schemas.openxmlformats.org/spreadsheetml/2006/main" count="1691" uniqueCount="642">
  <si>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</si>
  <si>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</si>
  <si>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</si>
  <si>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</si>
  <si>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</si>
  <si>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</si>
  <si>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</si>
  <si>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</si>
  <si>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</si>
  <si>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</si>
  <si>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</si>
  <si>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</si>
  <si>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</si>
  <si>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</si>
  <si>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</si>
  <si>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</si>
  <si>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</si>
  <si>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</si>
  <si>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</si>
  <si>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</si>
  <si>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</si>
  <si>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</si>
  <si>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</si>
  <si>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</si>
  <si>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</si>
  <si>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</si>
  <si>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</si>
  <si>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</si>
  <si>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</si>
  <si>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</si>
  <si>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</si>
  <si>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</si>
  <si>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</si>
  <si>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</si>
  <si>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</si>
  <si>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</si>
  <si>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</si>
  <si>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</si>
  <si>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</si>
  <si>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</si>
  <si>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</si>
  <si>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</si>
  <si>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</si>
  <si>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</si>
  <si>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</si>
  <si>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</si>
  <si>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</si>
  <si>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</si>
  <si>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</si>
  <si>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</si>
  <si>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</si>
  <si>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</si>
  <si>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</si>
  <si>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</si>
  <si>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</si>
  <si>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</si>
  <si>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</si>
  <si>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</si>
  <si>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</si>
  <si>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</si>
  <si>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</si>
  <si>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</si>
  <si>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</si>
  <si>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</si>
  <si>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</si>
  <si>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</si>
  <si>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</si>
  <si>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</si>
  <si>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</si>
  <si>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</si>
  <si>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</si>
  <si>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</si>
  <si>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</si>
  <si>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</si>
  <si>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</si>
  <si>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</si>
  <si>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</si>
  <si>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</si>
  <si>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</si>
  <si>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</si>
  <si>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</si>
  <si>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</si>
  <si>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</si>
  <si>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</si>
  <si>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</si>
  <si>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</si>
  <si>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</si>
  <si>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</si>
  <si>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</si>
  <si>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</si>
  <si>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</si>
  <si>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</si>
  <si>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</si>
  <si>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</si>
  <si>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</si>
  <si>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</si>
  <si>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</si>
  <si>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</si>
  <si>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</si>
  <si>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</si>
  <si>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</si>
  <si>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</si>
  <si>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</si>
  <si>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</si>
  <si>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</si>
  <si>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</si>
  <si>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</si>
  <si>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</si>
  <si>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</si>
  <si>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</si>
  <si>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</si>
  <si>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</si>
  <si>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</si>
  <si>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</si>
  <si>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</si>
  <si>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</si>
  <si>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</si>
  <si>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</si>
  <si>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</si>
  <si>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</si>
  <si>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</si>
  <si>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</si>
  <si>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</si>
  <si>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</si>
  <si>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</si>
  <si>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</si>
  <si>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</si>
  <si>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</si>
  <si>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</si>
  <si>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</si>
  <si>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</si>
  <si>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</si>
  <si>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</si>
  <si>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</si>
  <si>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</si>
  <si>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</si>
  <si>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</si>
  <si>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</si>
  <si>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</si>
  <si>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</si>
  <si>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</si>
  <si>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</si>
  <si>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</si>
  <si>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</si>
  <si>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</si>
  <si>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</si>
  <si>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</si>
  <si>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</si>
  <si>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</si>
  <si>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</si>
  <si>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</si>
  <si>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</si>
  <si>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</si>
  <si>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</si>
  <si>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</si>
  <si>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</si>
  <si>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</si>
  <si>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</si>
  <si>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</si>
  <si>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</si>
  <si>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</si>
  <si>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</si>
  <si>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</si>
  <si>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</si>
  <si>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</si>
  <si>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</si>
  <si>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</si>
  <si>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</si>
  <si>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</si>
  <si>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</si>
  <si>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</si>
  <si>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</si>
  <si>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</si>
  <si>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</si>
  <si>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</si>
  <si>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</si>
  <si>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</si>
  <si>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</si>
  <si>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</si>
  <si>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</si>
  <si>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</si>
  <si>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</si>
  <si>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</si>
  <si>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</si>
  <si>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</si>
  <si>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</si>
  <si>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</si>
  <si>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</si>
  <si>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</si>
  <si>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</si>
  <si>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</si>
  <si>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</si>
  <si>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</si>
  <si>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</si>
  <si>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</si>
  <si>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</si>
  <si>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</si>
  <si>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</si>
  <si>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</si>
  <si>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</si>
  <si>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</si>
  <si>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</si>
  <si>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</si>
  <si>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</si>
  <si>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</si>
  <si>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</si>
  <si>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</si>
  <si>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</si>
  <si>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</si>
  <si>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</si>
  <si>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</si>
  <si>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</si>
  <si>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</si>
  <si>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</si>
  <si>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</si>
  <si>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</si>
  <si>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</si>
  <si>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</si>
  <si>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</si>
  <si>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</si>
  <si>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</si>
  <si>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</si>
  <si>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</si>
  <si>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</si>
  <si>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</si>
  <si>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</si>
  <si>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</si>
  <si>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</si>
  <si>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</si>
  <si>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</si>
  <si>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</si>
  <si>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</si>
  <si>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</si>
  <si>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</si>
  <si>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</si>
  <si>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SERVIÇOS INICIAIS</t>
  </si>
  <si>
    <t>SINAPI-I</t>
  </si>
  <si>
    <t>PM BENTO</t>
  </si>
  <si>
    <t>MUNICÍPIO DE BENTO GONÇALVES</t>
  </si>
  <si>
    <t>91</t>
  </si>
  <si>
    <t>10775</t>
  </si>
  <si>
    <t>DEMOLIÇÕES, RETIRADAS E ADEQUAÇÕES</t>
  </si>
  <si>
    <t>97642</t>
  </si>
  <si>
    <t>96121</t>
  </si>
  <si>
    <t>INSTALAÇÕES ELÉTRICAS</t>
  </si>
  <si>
    <t>SERVIÇOS FINAIS</t>
  </si>
  <si>
    <t>ÁREA EXTERNA</t>
  </si>
  <si>
    <t>40</t>
  </si>
  <si>
    <t>97647</t>
  </si>
  <si>
    <t>100</t>
  </si>
  <si>
    <t>100276</t>
  </si>
  <si>
    <t>100287</t>
  </si>
  <si>
    <t>94228</t>
  </si>
  <si>
    <t>92543</t>
  </si>
  <si>
    <t>102193</t>
  </si>
  <si>
    <t>102197</t>
  </si>
  <si>
    <t>102229</t>
  </si>
  <si>
    <t>120</t>
  </si>
  <si>
    <t>COBERTURAS</t>
  </si>
  <si>
    <t>97662</t>
  </si>
  <si>
    <t>REMOÇÃO DE TUBOS DE QUEDA PARA SUBSTITUIÇÃO</t>
  </si>
  <si>
    <t>CANOS PLUVIAL</t>
  </si>
  <si>
    <t>100981</t>
  </si>
  <si>
    <t>87</t>
  </si>
  <si>
    <t>97914</t>
  </si>
  <si>
    <t>97637</t>
  </si>
  <si>
    <t>TRANSPORTE DE MATERIAIS GRANULARES E/OU TRANSPORTE DE ENTULHO PARA LOCAL LICENCIADO, COM CAMINHÃO BASCULANTE DE 6M³, EM VIA URBANA PAVIMENTADA, DMT ATÉ 30KM</t>
  </si>
  <si>
    <t>100275</t>
  </si>
  <si>
    <t>122</t>
  </si>
  <si>
    <t>94213</t>
  </si>
  <si>
    <t>98546</t>
  </si>
  <si>
    <t>98565</t>
  </si>
  <si>
    <t>103689</t>
  </si>
  <si>
    <t>43</t>
  </si>
  <si>
    <t>44</t>
  </si>
  <si>
    <t>87745</t>
  </si>
  <si>
    <t>143</t>
  </si>
  <si>
    <t>97629</t>
  </si>
  <si>
    <t>144</t>
  </si>
  <si>
    <t>89578</t>
  </si>
  <si>
    <t>COBERTURA DOS BANHEIROS DO PRÉDIO DE 2 PAVIMENTOS</t>
  </si>
  <si>
    <t>CALHAS, FUNILARIA E TUBOS DE QUEDA</t>
  </si>
  <si>
    <t>INSTALAÇÃO DE RESERVATÓRIOS DE ÁGUA</t>
  </si>
  <si>
    <t>94648</t>
  </si>
  <si>
    <t>94688</t>
  </si>
  <si>
    <t>94673</t>
  </si>
  <si>
    <t>94489</t>
  </si>
  <si>
    <t>94703</t>
  </si>
  <si>
    <t>94796</t>
  </si>
  <si>
    <t>102605</t>
  </si>
  <si>
    <t>105154</t>
  </si>
  <si>
    <t>94704</t>
  </si>
  <si>
    <t>94490</t>
  </si>
  <si>
    <t>94675</t>
  </si>
  <si>
    <t>94690</t>
  </si>
  <si>
    <t>94649</t>
  </si>
  <si>
    <t>89435</t>
  </si>
  <si>
    <t>89415</t>
  </si>
  <si>
    <t>89403</t>
  </si>
  <si>
    <t>89553</t>
  </si>
  <si>
    <t>94792</t>
  </si>
  <si>
    <t>104348</t>
  </si>
  <si>
    <t>104803</t>
  </si>
  <si>
    <t>91926</t>
  </si>
  <si>
    <t>92023</t>
  </si>
  <si>
    <t>104793</t>
  </si>
  <si>
    <t>97660</t>
  </si>
  <si>
    <t>97665</t>
  </si>
  <si>
    <t>REFORMA DOS BANHEIROS</t>
  </si>
  <si>
    <t>97644</t>
  </si>
  <si>
    <t>90843</t>
  </si>
  <si>
    <t>90841</t>
  </si>
  <si>
    <t>102219</t>
  </si>
  <si>
    <t>97633</t>
  </si>
  <si>
    <t>87273</t>
  </si>
  <si>
    <t>88484</t>
  </si>
  <si>
    <t>88496</t>
  </si>
  <si>
    <t>104780</t>
  </si>
  <si>
    <t>104766</t>
  </si>
  <si>
    <t>91845</t>
  </si>
  <si>
    <t>91855</t>
  </si>
  <si>
    <t>92866</t>
  </si>
  <si>
    <t>102488</t>
  </si>
  <si>
    <t>102492</t>
  </si>
  <si>
    <t>105115</t>
  </si>
  <si>
    <t>10527</t>
  </si>
  <si>
    <t>97064</t>
  </si>
  <si>
    <t>157</t>
  </si>
  <si>
    <t>97663</t>
  </si>
  <si>
    <t>100849</t>
  </si>
  <si>
    <t>136</t>
  </si>
  <si>
    <t>REMOÇÃO DE LOUÇAS DE FORMA MANUAL</t>
  </si>
  <si>
    <t>158</t>
  </si>
  <si>
    <t>159</t>
  </si>
  <si>
    <t>98459</t>
  </si>
  <si>
    <t>INSTALAÇÕES PLUVIAIS SUBTERRÂNEAS</t>
  </si>
  <si>
    <t>99253</t>
  </si>
  <si>
    <t>104166</t>
  </si>
  <si>
    <t>93382</t>
  </si>
  <si>
    <t>93358</t>
  </si>
  <si>
    <t>102988</t>
  </si>
  <si>
    <t>101849</t>
  </si>
  <si>
    <t>110</t>
  </si>
  <si>
    <t>108</t>
  </si>
  <si>
    <t>97650</t>
  </si>
  <si>
    <t>RUA CARLOS DREHER NETO, 543, BAIRRO VILA NOVA</t>
  </si>
  <si>
    <t>161</t>
  </si>
  <si>
    <t>162</t>
  </si>
  <si>
    <t>104640</t>
  </si>
  <si>
    <t>96111</t>
  </si>
  <si>
    <t>164</t>
  </si>
  <si>
    <t>94216</t>
  </si>
  <si>
    <t>3409</t>
  </si>
  <si>
    <t>Forros dos beirais</t>
  </si>
  <si>
    <t>Forros internos</t>
  </si>
  <si>
    <t>FORROS</t>
  </si>
  <si>
    <t xml:space="preserve"> PM BENTO</t>
  </si>
  <si>
    <t>91927</t>
  </si>
  <si>
    <t>91928</t>
  </si>
  <si>
    <t>91931</t>
  </si>
  <si>
    <t>91932</t>
  </si>
  <si>
    <t>92982</t>
  </si>
  <si>
    <t>92986</t>
  </si>
  <si>
    <t>91835</t>
  </si>
  <si>
    <t>91836</t>
  </si>
  <si>
    <t>97669</t>
  </si>
  <si>
    <t>91936</t>
  </si>
  <si>
    <t>95727</t>
  </si>
  <si>
    <t>95728</t>
  </si>
  <si>
    <t>102486</t>
  </si>
  <si>
    <t>94319</t>
  </si>
  <si>
    <t>39175</t>
  </si>
  <si>
    <t>1575</t>
  </si>
  <si>
    <t>92343</t>
  </si>
  <si>
    <t>2620</t>
  </si>
  <si>
    <t>39181</t>
  </si>
  <si>
    <t>97535</t>
  </si>
  <si>
    <t>2568</t>
  </si>
  <si>
    <t>87398</t>
  </si>
  <si>
    <t>88309</t>
  </si>
  <si>
    <t>91953</t>
  </si>
  <si>
    <t>91959</t>
  </si>
  <si>
    <t>91967</t>
  </si>
  <si>
    <t>92027</t>
  </si>
  <si>
    <t>91993</t>
  </si>
  <si>
    <t>92001</t>
  </si>
  <si>
    <t>91997</t>
  </si>
  <si>
    <t>92009</t>
  </si>
  <si>
    <t>95805</t>
  </si>
  <si>
    <t>93654</t>
  </si>
  <si>
    <t>93655</t>
  </si>
  <si>
    <t>93657</t>
  </si>
  <si>
    <t>93659</t>
  </si>
  <si>
    <t>34688</t>
  </si>
  <si>
    <t>93671</t>
  </si>
  <si>
    <t>93672</t>
  </si>
  <si>
    <t>101894</t>
  </si>
  <si>
    <t>96986</t>
  </si>
  <si>
    <t>11821</t>
  </si>
  <si>
    <t>104750</t>
  </si>
  <si>
    <t>43055</t>
  </si>
  <si>
    <t>97886</t>
  </si>
  <si>
    <t>103782</t>
  </si>
  <si>
    <t>39391</t>
  </si>
  <si>
    <t>101632</t>
  </si>
  <si>
    <t>88264</t>
  </si>
  <si>
    <t>88247</t>
  </si>
  <si>
    <t>98307</t>
  </si>
  <si>
    <t>39602</t>
  </si>
  <si>
    <t>98295</t>
  </si>
  <si>
    <t>39812</t>
  </si>
  <si>
    <t>90777</t>
  </si>
  <si>
    <t>145</t>
  </si>
  <si>
    <t>146</t>
  </si>
  <si>
    <t>147</t>
  </si>
  <si>
    <t>148</t>
  </si>
  <si>
    <t>149</t>
  </si>
  <si>
    <t>150</t>
  </si>
  <si>
    <t>151</t>
  </si>
  <si>
    <t>152</t>
  </si>
  <si>
    <t>153</t>
  </si>
  <si>
    <t>154</t>
  </si>
  <si>
    <t>155</t>
  </si>
  <si>
    <t>156</t>
  </si>
  <si>
    <t>137</t>
  </si>
  <si>
    <t>87894</t>
  </si>
  <si>
    <t>87775</t>
  </si>
  <si>
    <t>88415</t>
  </si>
  <si>
    <t>96135</t>
  </si>
  <si>
    <t>95626</t>
  </si>
  <si>
    <t>97631</t>
  </si>
  <si>
    <t>98575</t>
  </si>
  <si>
    <t>REPARO EM TRINCAS</t>
  </si>
  <si>
    <t xml:space="preserve">Encargos Sociais SEM DESONERAÇÃO:HORISTA 112,84% / MENSALISTA 69,95%.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</si>
  <si>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REFORMA DE COBERTURAS, FORROS E ELÉTRICA - EMEF PRINCESA ISABEL</t>
  </si>
  <si>
    <t>Coberturas</t>
  </si>
  <si>
    <t>Forros</t>
  </si>
  <si>
    <t>forros internos</t>
  </si>
  <si>
    <t>forros dos beirais</t>
  </si>
  <si>
    <t>Remoção de caixa d'água e demolição de laje de cobertura dos banheiros do prédio de 2 pavimentos</t>
  </si>
  <si>
    <t>Pintura da laje de cobertura</t>
  </si>
  <si>
    <t xml:space="preserve">Impermeabilização  </t>
  </si>
  <si>
    <t>Laje de cobertura dos banheiros</t>
  </si>
  <si>
    <t>Coluna de ventilação existente</t>
  </si>
  <si>
    <t>Extravasor e limpeza</t>
  </si>
  <si>
    <t>Distribuição</t>
  </si>
  <si>
    <t>Alimentação</t>
  </si>
  <si>
    <t xml:space="preserve">Saída para distribuição e ventilação (SUSPIRO) </t>
  </si>
  <si>
    <t>Telhamento</t>
  </si>
  <si>
    <t>Estrutura de madeira para repor peças avariadas</t>
  </si>
  <si>
    <t>Espelhos dos beirais</t>
  </si>
  <si>
    <t>Demolições e remoções</t>
  </si>
  <si>
    <t>Esquadrias com madeira</t>
  </si>
  <si>
    <t xml:space="preserve">Reinstalação de sanitários e lavatórios </t>
  </si>
  <si>
    <t>Revestimentos de paredes e tetos</t>
  </si>
  <si>
    <t>Instalações elétricas</t>
  </si>
  <si>
    <t>FORNECIMENTO E INSTALAÇÃO DE PLACA DE OBRA COM CHAPA GALVANIZADA E ESTRUTURA DE MADEIRA. AF_03/2022_PS</t>
  </si>
  <si>
    <t>ADMINISTRAÇÃO LOCAL DE OBRA</t>
  </si>
  <si>
    <t>LOCACAO DE CONTAINER 2,30 X 6,00 M, ALT. 2,50 M, COM 1 SANITARIO, PARA ESCRITORIO, COMPLETO, SEM DIVISORIAS INTERNAS (NAO INCLUI MOBILIZACAO/DESMOBILIZACAO)</t>
  </si>
  <si>
    <t>INSTALAÇÃO E DESINSTALAÇÃO MECANIZADA DE CONTÊINER OU MÓDULO HABITÁVEL DE USOS DIVERSOS. AF_03/2024</t>
  </si>
  <si>
    <t>LOCACAO DE ANDAIME METALICO TUBULAR DE ENCAIXE, TIPO DE TORRE, CADA PAINEL COM LARGURA DE 1 ATE 1,5 M E ALTURA DE *1,00* M, INCLUINDO DIAGONAL, BARRAS DE LIGACAO, SAPATAS OU RODIZIOS E DEMAIS ITENS NECESSARIOS A MONTAGEM (NAO INCLUI INSTALACAO)</t>
  </si>
  <si>
    <t>MONTAGEM E DESMONTAGEM DE ANDAIME TUBULAR TIPO "TORRE" (EXCLUSIVE ANDAIME E LIMPEZA). AF_03/2024</t>
  </si>
  <si>
    <t>SINALIZAÇÃO COM TELA PLASTICA LARANJA</t>
  </si>
  <si>
    <t>TAPUME COM TELHA METÁLICA. AF_03/2024</t>
  </si>
  <si>
    <t>REMOÇÃO DE TELHAS DE FIBROCIMENTO METÁLICA E CERÂMICA, DE FORMA MANUAL, SEM REAPROVEITAMENTO. AF_09/2023</t>
  </si>
  <si>
    <t>TRANSPORTE HORIZONTAL MANUAL, DE TELHA DE FIBROCIMENTO OU TELHA ESTRUTURAL DE FIBROCIMENTO, CANALETE 90 OU KALHETÃO (UNIDADE: M2XKM). AF_07/2019</t>
  </si>
  <si>
    <t>REMOÇÃO CALHAS E RUFOS, DE FORMA MANUAL, SEM REAPROVEITAMENTO. AF_09/2023</t>
  </si>
  <si>
    <t>TRANSPORTE HORIZONTAL MANUAL, DE CALHA QUADRADA NÚMERO 24 - CORTE 33 (UNIDADE: MXKM). AF_07/2019</t>
  </si>
  <si>
    <t>REMOÇÃO DE TRAMA DE MADEIRA PARA COBERTURA, DE FORMA MANUAL, SEM REAPROVEITAMENTO. AF_09/2023</t>
  </si>
  <si>
    <t>REMOÇÃO DE FORRO DE MADEIRA DE FORMA MANUAL</t>
  </si>
  <si>
    <t>REMOÇÃO DE TRAMA METÁLICA OU DE MADEIRA PARA FORRO, DE FORMA MANUAL, SEM REAPROVEITAMENTO. AF_09/2023</t>
  </si>
  <si>
    <t xml:space="preserve">REMOÇÃO DE RESERVATÓRIO DE ÁGUA DE POLIETILENO OU FIBRA, SEM REAPROVEITAMENTO       </t>
  </si>
  <si>
    <t>DEMOLIÇÃO DE LAJES, EM CONCRETO ARMADO, DE FORMA MECANIZADA COM MARTELETE, SEM REAPROVEITAMENTO. AF_09/2023</t>
  </si>
  <si>
    <t>REMOÇÃO DE TUBULAÇÕES (TUBOS E CONEXÕES) DE ÁGUA FRIA, DE FORMA MANUAL, SEM REAPROVEITAMENTO. AF_09/2023</t>
  </si>
  <si>
    <t>VIGA CONCRETO ARMADO FCK 25 MPA - ESCOR, FORMA, ARM, LANC, CURA, DES. COMPLETA</t>
  </si>
  <si>
    <t>LAJE DE CONCRETO ARMADO, FCK 25 MPA, MACIÇA - ESCOR, FORMA, ARM, LANC, CURA, DES, COMPLETA.</t>
  </si>
  <si>
    <t>CONTRAPISO EM ARGAMASSA TRAÇO 1:4 (CIMENTO E AREIA), PREPARO MECÂNICO COM BETONEIRA 400 L, APLICADO EM ÁREAS MOLHADAS SOBRE LAJE, ADERIDO, ACABAMENTO NÃO REFORÇADO, ESPESSURA 3CM. AF_07/2021</t>
  </si>
  <si>
    <t>IMPERMEABILIZAÇÃO DE SUPERFÍCIE COM MANTA ASFÁLTICA, UMA CAMADA, INCLUSIVE APLICAÇÃO DE PRIMER ASFÁLTICO, E=4MM. AF_09/2023</t>
  </si>
  <si>
    <t>PROTEÇÃO MECÂNICA DE SUPERFICIE HORIZONTAL COM ARGAMASSA DE CIMENTO E AREIA, TRAÇO 1:3, E=3CM. AF_09/2023</t>
  </si>
  <si>
    <t xml:space="preserve">TRATAMENTO DE RALO OU PONTO EMERGENTE EM IMPERMEABILIZAÇÃO COM MANTA ASFÁLTICA, E=4MM </t>
  </si>
  <si>
    <t>PREPARO DO PISO CIMENTADO PARA PINTURA - LIXAMENTO E LIMPEZA. AF_05/2021</t>
  </si>
  <si>
    <t>PINTURA DE PISO COM TINTA ACRÍLICA, APLICAÇÃO MANUAL, 3 DEMÃOS, INCLUSO FUNDO PREPARADOR. AF_05/2021</t>
  </si>
  <si>
    <t>TUBO, PVC, SOLDÁVEL, DE 25MM, INSTALADO EM RESERVAÇÃO PREDIAL DE ÁGUA - FORNECIMENTO E INSTALAÇÃO. AF_04/2024</t>
  </si>
  <si>
    <t>TÊ, PVC, SOLDÁVEL, DN 25 MM INSTALADO EM RESERVAÇÃO PREDIAL DE ÁGUA - FORNECIMENTO E INSTALAÇÃO. AF_04/2024</t>
  </si>
  <si>
    <t>CURVA 90 GRAUS, PVC, SOLDÁVEL, DN 25 MM, INSTALADO EM RESERVAÇÃO PREDIAL DE ÁGUA - FORNECIMENTO E INSTALAÇÃO. AF_04/2024</t>
  </si>
  <si>
    <t>CURVA PVC 45 GRAUS, SOLDÁVEL, DN 25 MM, INSTALADO EM RESERVAÇÃO PREDIAL DE ÁGUA - FORNECIMENTO E INSTALAÇÃO. AF_04/2024</t>
  </si>
  <si>
    <t>REGISTRO DE ESFERA, PVC, SOLDÁVEL, COM VOLANTE, DN 25 MM - FORNECIMENTO E INSTALAÇÃO. AF_08/2021</t>
  </si>
  <si>
    <t>ADAPTADOR COM FLANGE E ANEL DE VEDAÇÃO, PVC, SOLDÁVEL, DN 25 MM X 3/4", INSTALADO EM RESERVAÇÃO PREDIAL DE ÁGUA - FORNECIMENTO E INSTALAÇÃO. AF_04/2024</t>
  </si>
  <si>
    <t>TORNEIRA DE BOIA PARA CAIXA D'ÁGUA, ROSCÁVEL, 3/4" - FORNECIMENTO E INSTALAÇÃO. AF_08/2021</t>
  </si>
  <si>
    <t>POLIESTIRENO EXPANDIDO/EPS (ISOPOR), TIPO 2F, PLACA, ISOLAMENTO TERMOACUSTICO, E = 50 MM, 1000 X 500 MM</t>
  </si>
  <si>
    <t>CAIXA D´ÁGUA EM POLIETILENO, 500 LITROS - FORNECIMENTO E INSTALAÇÃO. AF_06/2021</t>
  </si>
  <si>
    <t>ADAPTADOR COM FLANGE E ANEL DE VEDAÇÃO, PVC, SOLDÁVEL, DN 32 MM X 1", INSTALADO EM RESERVAÇÃO PREDIAL DE ÁGUA - FORNECIMENTO E INSTALAÇÃO. AF_04/2024</t>
  </si>
  <si>
    <t>REGISTRO DE ESFERA, PVC, SOLDÁVEL, COM VOLANTE, DN 32 MM - FORNECIMENTO E INSTALAÇÃO. AF_08/2021</t>
  </si>
  <si>
    <t>CURVA 90 GRAUS, PVC, SOLDÁVEL, DN 32 MM, INSTALADO EM RESERVAÇÃO PREDIAL DE ÁGUA - FORNECIMENTO E INSTALAÇÃO. AF_04/2024</t>
  </si>
  <si>
    <t>TÊ, PVC, SOLDÁVEL, DN 32 MM INSTALADO EM RESERVAÇÃO PREDIAL DE ÁGUA - FORNECIMENTO E INSTALAÇÃO. AF_04/2024</t>
  </si>
  <si>
    <t>UNIÃO, PVC, SOLDÁVEL, DN 32MM, INSTALADO EM RAMAL DE DISTRIBUIÇÃO DE ÁGUA - FORNECIMENTO E INSTALAÇÃO. AF_06/2022</t>
  </si>
  <si>
    <t>TUBO, PVC, SOLDÁVEL, DE 32MM, INSTALADO EM RESERVAÇÃO PREDIAL DE ÁGUA - FORNECIMENTO E INSTALAÇÃO. AF_04/2024</t>
  </si>
  <si>
    <t>CURVA 90 GRAUS, PVC, SOLDÁVEL, DN 32MM, INSTALADO EM RAMAL DE DISTRIBUIÇÃO DE ÁGUA - FORNECIMENTO E INSTALAÇÃO. AF_06/2022</t>
  </si>
  <si>
    <t>REGISTRO DE GAVETA BRUTO, LATÃO, ROSCÁVEL, 1", COM ACABAMENTO E CANOPLA CROMADOS - FORNECIMENTO E INSTALAÇÃO. AF_08/2021</t>
  </si>
  <si>
    <t>ADAPTADOR CURTO COM BOLSA E ROSCA PARA REGISTRO, PVC, SOLDÁVEL, DN 32MM X 1, INSTALADO EM PRUMADA DE ÁGUA - FORNECIMENTO E INSTALAÇÃO. AF_06/2022</t>
  </si>
  <si>
    <t>TUBO, PVC, SOLDÁVEL, DE 32MM, INSTALADO EM RAMAL DE DISTRIBUIÇÃO DE ÁGUA - FORNECIMENTO E INSTALAÇÃO. AF_06/2022</t>
  </si>
  <si>
    <t>TERMINAL DE VENTILAÇÃO, PVC, SÉRIE NORMAL, ESGOTO PREDIAL, DN 50 MM, JUNTA SOLDÁVEL, FORNECIDO E INSTALADO EM PRUMADA DE ESGOTO SANITÁRIO OU VENTILAÇÃO. AF_08/2022</t>
  </si>
  <si>
    <t>TRAMA DE MADEIRA COMPOSTA POR TERÇAS PARA TELHADOS DE ATÉ 2 ÁGUAS PARA TELHA ONDULADA DE FIBROCIMENTO, METÁLICA, PLÁSTICA OU TERMOACÚSTICA, INCLUSO TRANSPORTE VERTICAL. AF_07/2019</t>
  </si>
  <si>
    <t>TELHAMENTO COM TELHA DE AÇO/ALUMÍNIO E = 0,5 MM, COM ATÉ 2 ÁGUAS, INCLUSO IÇAMENTO. AF_07/2019</t>
  </si>
  <si>
    <t>TELHAMENTO COM TELHA METÁLICA TERMOACÚSTICA E = 30 MM, COM ATÉ 2 ÁGUAS, INCLUSO IÇAMENTO. AF_07/2019</t>
  </si>
  <si>
    <t>TRANSPORTE HORIZONTAL MANUAL, DE TELHA TERMOACÚSTICA OU TELHA DE AÇO ZINCADO (UNIDADE: M2XKM). AF_07/2019</t>
  </si>
  <si>
    <t>CUMEEIRA PARA TELHAS TRAPEZOIDAIS DE AÇO, INCLUSO ACESSÓRIOS DE FIXAÇÃO, IÇAMENTO E INSTALAÇÃO</t>
  </si>
  <si>
    <t>CALHA EM CHAPA DE AÇO GALVANIZADO NÚMERO 24, DESENVOLVIMENTO DE 50 CM, INCLUSO TRANSPORTE VERTICAL. AF_07/2019</t>
  </si>
  <si>
    <t>CALHA EM CHAPA DE AÇO GALVANIZADO NÚMERO 24, DESENVOLVIMENTO DE 40CM, INCLUSO TRANSPORTE VERTICAL</t>
  </si>
  <si>
    <t>REINSTALAÇÃO DE CALHA EM CHAPA DE AÇO GALVANIZADO, COMPLETA, INCLUSO TRANSPORTE VERTICAL</t>
  </si>
  <si>
    <t>ÁGUA FURTADA CALHA EM CHAPA DE AÇO GALVANIZADO NÚMERO 26, DESENVOLVIMENTO DE 40CM, INCLUSO TRANSPORTE VERTICAL</t>
  </si>
  <si>
    <t>TUBO PVC, SÉRIE R, ÁGUA PLUVIAL, DN 100 MM, FORNECIDO E INSTALADO EM CONDUTORES VERTICAIS DE ÁGUAS PLUVIAIS. AF_06/2022</t>
  </si>
  <si>
    <t>FORRO EM RÉGUAS DE PVC, FRISADO, PARA AMBIENTES RESIDENCIAIS, INCLUSIVE ESTRUTURA UNIDIRECIONAL DE FIXAÇÃO. AF_08/2023_PS</t>
  </si>
  <si>
    <t>ACABAMENTOS PARA FORRO (RODA-FORRO EM PERFIL METÁLICO E PLÁSTICO). AF_08/2023</t>
  </si>
  <si>
    <t>ESPELHO DE BEIRAL EM MADEIRA DE LEI APARELHADA, 15X2,5 CM,  FORNECIMENTO E INSTALAÇÃO</t>
  </si>
  <si>
    <t>LIXAMENTO DE MADEIRA PARA APLICAÇÃO DE FUNDO OU PINTURA. AF_01/2021</t>
  </si>
  <si>
    <t>PINTURA FUNDO NIVELADOR ALQUÍDICO BRANCO EM MADEIRA. AF_01/2021</t>
  </si>
  <si>
    <t>PINTURA TINTA DE ACABAMENTO (PIGMENTADA) ESMALTE SINTÉTICO ACETINADO EM MADEIRA, 3 DEMÃOS. AF_01/2021</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</si>
  <si>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</si>
  <si>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</si>
  <si>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</si>
  <si>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</si>
  <si>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</si>
  <si>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DISTRIBUIÇÃO - FORNECIMENTO E INSTALAÇÃO. AF_10/2020</t>
  </si>
  <si>
    <t>CABO DE COBRE FLEXÍVEL ISOLADO, 35 MM², ANTI-CHAMA 0,6/1,0 KV, PARA REDE ENTERRADA DE DISTRIBUIÇÃO DE ENERGIA ELÉTRICA - FORNECIMENTO E INSTALAÇÃO. AF_12/2021</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</si>
  <si>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</si>
  <si>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</si>
  <si>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PEAD, DN 90 (3"), PARA REDE ENTERRADA DE DISTRIBUIÇÃO DE ENERGIA ELÉTRICA - FORNECIMENTO E INSTALAÇÃO. AF_12/2021</t>
  </si>
  <si>
    <t>CAIXA OCTOGONAL 4" X 4", PVC, INSTALADA EM LAJE - FORNECIMENTO E INSTALAÇÃO. AF_03/2023</t>
  </si>
  <si>
    <t>ELETRODUTO RÍGIDO SOLDÁVEL, PVC, DN 25 MM (3/4"), APARENTE - FORNECIMENTO E INSTALAÇÃO. AF_10/2022</t>
  </si>
  <si>
    <t>ELETRODUTO RÍGIDO SOLDÁVEL, PVC, DN 32 MM (1"), APARENTE - FORNECIMENTO E INSTALAÇÃO. AF_10/2022</t>
  </si>
  <si>
    <t>ESCAVAÇÃO MANUAL DE VALA. AF_09/2024</t>
  </si>
  <si>
    <t>CONCRETO FCK = 15MPA, TRAÇO 1:3,4:3,4 (EM MASSA SECA DE CIMENTO/ AREIA MÉDIA/ SEIXO ROLADO) - PREPARO MANUAL. AF_05/2021</t>
  </si>
  <si>
    <t>ATERRO MANUAL DE VALAS COM SOLO ARGILO-ARENOSO. AF_08/2023</t>
  </si>
  <si>
    <t>ELETROCALHA EM CHAPA DE AÇO GALVANIZADA 50X50MM COM SEPARADOR INTERNO - FORNECIMENTO E INSTALAÇÃO</t>
  </si>
  <si>
    <t>BUCHA EM ALUMINIO, COM ROSCA, DE 3/4", PARA ELETRODUTO</t>
  </si>
  <si>
    <t>TERMINAL A COMPRESSAO EM COBRE ESTANHADO PARA CABO 16 MM2, 1 FURO E 1 COMPRESSAO, PARA PARAFUSO DE FIXACAO M6</t>
  </si>
  <si>
    <t>TUBO DE AÇO GALVANIZADO COM COSTURA, CLASSE MÉDIA, DN 80 (3"), CONEXÃO ROSQUEADA, INSTALADO EM PRUMADAS - FORNECIMENTO E INSTALAÇÃO. AF_10/2020</t>
  </si>
  <si>
    <t>CURVA 90 GRAUS PARA ELETRODUTO, EM ACO GALVANIZADO ELETROLITICO, COM ROSCA, DIAMETRO DE 80 MM (3")</t>
  </si>
  <si>
    <t>BUCHA EM ALUMINIO, COM ROSCA, DE 3", PARA ELETRODUTO</t>
  </si>
  <si>
    <t>TUBO DE AÇO GALVANIZADO COM COSTURA, CLASSE MÉDIA, CONEXÃO ROSQUEADA, DN 25 (1"), INSTALADO EM REDE DE ALIMENTAÇÃO PARA SPRINKLER - FORNECIMENTO E INSTALAÇÃO. AF_10/2020</t>
  </si>
  <si>
    <t>CONDULETE DE ALUMINIO TIPO E, PARA ELETRODUTO ROSCAVEL DE 3", COM TAMPA CEGA</t>
  </si>
  <si>
    <t>ARGAMASSA INDUSTRIALIZADA MULTIUSO PARA REVESTIMENTOS E ASSENTAMENTO DA ALVENARIA, PREPARO MANUAL. AF_08/2019</t>
  </si>
  <si>
    <t>PEDREIRO COM ENCARGOS COMPLEMENTARES</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</si>
  <si>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</si>
  <si>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</si>
  <si>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</si>
  <si>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SIMPLES (1 MÓDULO) COM 1 TOMADA DE EMBUTIR 2P+T 10 A, INCLUINDO SUPORTE E PLACA - FORNECIMENTO E INSTALAÇÃO. AF_03/2023</t>
  </si>
  <si>
    <t>INTERRUPTOR SIMPLES (2 MÓDULOS) COM 1 TOMADA DE EMBUTIR 2P+T 10 A, INCLUINDO SUPORTE E PLACA - FORNECIMENTO E INSTALAÇÃO. AF_03/2023</t>
  </si>
  <si>
    <t>TOMADA ALTA DE EMBUTIR (1 MÓDULO), 2P+T 20 A, INCLUINDO SUPORTE E PLACA - FORNECIMENTO E INSTALAÇÃO. AF_03/2023</t>
  </si>
  <si>
    <t>TOMADA BAIXA DE EMBUTIR (1 MÓDULO), 2P+T 20 A, INCLUINDO SUPORTE E PLACA - FORNECIMENTO E INSTALAÇÃO. AF_03/2023</t>
  </si>
  <si>
    <t>TOMADA MÉDIA DE EMBUTIR (1 MÓDULO), 2P+T 20 A, INCLUINDO SUPORTE E PLACA - FORNECIMENTO E INSTALAÇÃO. AF_03/2023</t>
  </si>
  <si>
    <t>TOMADA BAIXA DE EMBUTIR (2 MÓDULOS), 2P+T 20 A, INCLUINDO SUPORTE E PLACA - FORNECIMENTO E INSTALAÇÃO. AF_03/2023</t>
  </si>
  <si>
    <t>CONDULETE DE PVC, TIPO B, PARA ELETRODUTO DE PVC SOLDÁVEL DN 25 MM (3/4''), APARENTE - FORNECIMENTO E INSTALAÇÃO. AF_10/2022</t>
  </si>
  <si>
    <t>QUADRO DE DISTRIBUIÇÃO DE ENERGIA EM CHAPA DE AÇO GALVANIZADO, DE SOBREPOR, COM BARRAMENTO TRIFÁSICO, PARA 24 DISJUNTORES DIN 100A - FORNECIMENTO E INSTALAÇÃO. AF_10/2020</t>
  </si>
  <si>
    <t>QUADRO DE DISTRIBUIÇÃO DE ENERGIA EM CHAPA DE AÇO GALVANIZADO, DE SOBREPOR, COM BARRAMENTO TRIFÁSICO, PARA 36 DISJUNTORES DIN 100A - FORNECIMENTO E INSTALAÇÃO. AF_10/2020</t>
  </si>
  <si>
    <t>QUADRO DE DISTRIBUIÇÃO DE ENERGIA EM CHAPA DE AÇO GALVANIZADO, DE SOBREPOR, COM BARRAMENTO TRIFÁSICO, PARA 48 DISJUNTORES DIN 100A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</si>
  <si>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</si>
  <si>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</si>
  <si>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32A - FORNECIMENTO E INSTALAÇÃO. AF_10/2020</t>
  </si>
  <si>
    <t>DISJUNTOR MONOPOLAR TIPO DIN, CORRENTE NOMINAL DE 50A - FORNECIMENTO E INSTALAÇÃO. AF_10/2020</t>
  </si>
  <si>
    <t>DISJUNTOR TERMOMAGNETICO PARA TRILHO DIN (IEC), MONOPOLAR, 63 A</t>
  </si>
  <si>
    <t>DISJUNTOR TRIPOLAR TIPO DIN, CORRENTE NOMINAL DE 32A - FORNECIMENTO E INSTALAÇÃO. AF_10/2020</t>
  </si>
  <si>
    <t>DISJUNTOR TRIPOLAR TIPO DIN, CORRENTE NOMINAL DE 40A - FORNECIMENTO E INSTALAÇÃO. AF_10/2020</t>
  </si>
  <si>
    <t>DISJUNTOR TRIPOLAR TIPO NEMA, CORRENTE NOMINAL DE 60 ATÉ 100A - FORNECIMENTO E INSTALAÇÃO. AF_10/2020</t>
  </si>
  <si>
    <t xml:space="preserve">DISPOSITIVO DPS CLASSE II, 1 POLO, TENSAO MAXIMA DE 275 V, CORRENTE MAXIMA DE *45* KA (TIPO AC) - FORNECIMENTO E INSTALAÇÃO                                                                                                                                                                                                                                                                                                                                                                                                           </t>
  </si>
  <si>
    <t>DISPOSITIVO DIFERENCIAL RESIDUAL BIPOLAR 25A</t>
  </si>
  <si>
    <t>DISPOSITIVO DIFERENCIAL RESIDUAL BIPOLAR 40A</t>
  </si>
  <si>
    <t>HASTE DE ATERRAMENTO, DIÂMETRO 3/4", COM 3 METROS - FORNECIMENTO E INSTALAÇÃO. AF_08/2023</t>
  </si>
  <si>
    <t>CONECTOR METALICO TIPO PARAFUSO FENDIDO (SPLIT BOLT), COM SEPARADOR DE CABOS BIMETALICOS, PARA CABOS ATE 25 MM2</t>
  </si>
  <si>
    <t>CONECTOR GRAMPO METÁLICO TIPO OLHAL, PARA SPDA, PARA HASTE DE ATERRAMENTO DE 5/8'' E CABOS DE 10 A 50 MM2 - FORNECIMENTO E INSTALAÇÃO. AF_08/2023</t>
  </si>
  <si>
    <t>ACO CA-50, 12,5 MM OU 16,0 MM, VERGALHAO</t>
  </si>
  <si>
    <t>ENTRADA DE ENERGIA TRIFÁSICA COM FIO 35MM2 E DISJUNOTR DE 100A, INSTALADA EM POSTE PARTICULAR EM CONCRETO DUPLO T 7,5M - FORNECIMENTO E INSTALAÇÃO</t>
  </si>
  <si>
    <t>CAIXA ENTERRADA ELÉTRICA RETANGULAR, EM ALVENARIA COM TIJOLOS CERÂMICOS MACIÇOS, FUNDO COM BRITA, DIMENSÕES INTERNAS: 0,3X0,3X0,3 M. AF_12/2020</t>
  </si>
  <si>
    <t>FITA SUBTERRÂNEA - "CONDUTOR ELÉTRICO ABAIXO" 7,6 CM - FORNECIMENTO E INSTALAÇÃO</t>
  </si>
  <si>
    <t>LÂMPADA DE LED BULBO 100W ROSCA E40 - FORNECIMENTO E INSTALAÇÃO</t>
  </si>
  <si>
    <t>LUMINÁRIA TIPO PLAFON CIRCULAR, DE SOBREPOR, COM LED DE 12/13 W - FORNECIMENTO E INSTALAÇÃO. AF_09/2024</t>
  </si>
  <si>
    <t>LUMINARIA LED REFLETOR RETANGULAR BIVOLT, LUZ BRANCA, 50 W</t>
  </si>
  <si>
    <t>RELÉ FOTOELÉTRICO PARA COMANDO DE ILUMINAÇÃO EXTERNA 1000 W - FORNECIMENTO E INSTALAÇÃO. AF_02/2025</t>
  </si>
  <si>
    <t>LUMINARIA DE SOBREPOR PARA DUAS LÂMPADAS DE LED TUBULARES DE 18W - FORNECIMENTO E INSTALAÇÃO (INCLUÍDAS AS LÂMPADAS)</t>
  </si>
  <si>
    <t>REMOÇÃO DE CABOS ELÉTRICOS, COM SEÇÃO MAIOR QUE 2,5 MM² E MENOR QUE 10 MM², DE FORMA MANUAL, SEM REAPROVEITAMENTO. AF_09/2023</t>
  </si>
  <si>
    <t>REMOÇÃO DE INTERRUPTORES/TOMADAS ELÉTRICAS, DE FORMA MANUAL, SEM REAPROVEITAMENTO. AF_09/2023</t>
  </si>
  <si>
    <t>REMOÇÃO DE LUMINÁRIAS, DE FORMA MANUAL, SEM REAPROVEITAMENTO. AF_09/2023</t>
  </si>
  <si>
    <t>ELETRICISTA COM ENCARGOS COMPLEMENTARES</t>
  </si>
  <si>
    <t>AUXILIAR DE ELETRICISTA COM ENCARGOS COMPLEMENTARES</t>
  </si>
  <si>
    <t>TOMADA DE REDE RJ45 - FORNECIMENTO E INSTALAÇÃO. AF_11/2019</t>
  </si>
  <si>
    <t>CONECTOR MACHO RJ 45, CATEGORIA 5 E (CAT 5E) PARA CABOS</t>
  </si>
  <si>
    <t>CABO ELETRÔNICO CATEGORIA 5E, INSTALADO EM EDIFICAÇÃO INSTITUCIONAL - FORNECIMENTO E INSTALAÇÃO. AF_11/2019</t>
  </si>
  <si>
    <t>CAIXA DE PASSAGEM ELETRICA DE PAREDE, DE EMBUTIR, EM PVC, COM TAMPA APARAFUSADA, DIMENSOES 200 X 200 X *90* MM</t>
  </si>
  <si>
    <t>RACK DE INFORMATICA 16U</t>
  </si>
  <si>
    <t>CABO HDMI 10M - FORNECIMENTO E INSTALAÇÃO NAS SALAS DE AULA</t>
  </si>
  <si>
    <t>ENGENHEIRO CIVIL DE OBRA JUNIOR COM ENCARGOS COMPLEMENTARES</t>
  </si>
  <si>
    <t>REMOÇÃO DE JANELAS, DE FORMA MANUAL, COM CONSERTO DE REQUADROS, PARA REINSTALAÇÃO</t>
  </si>
  <si>
    <t>REMOÇÃO DE PORTAS, DE FORMA MANUAL, SEM REAPROVEITAMENTO. AF_09/2023</t>
  </si>
  <si>
    <t>REMOÇÃO E REINSTALAÇÃO DE BANCADAS EM GRANITO POLIDO COM NOVOS SUPORTES</t>
  </si>
  <si>
    <t>DEMOLIÇÃO DE REVESTIMENTO CERÂMICO, DE FORMA MANUAL, SEM REAPROVEITAMENTO. AF_09/2023</t>
  </si>
  <si>
    <t>REINSTALAÇÃO DE JANELAS</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</si>
  <si>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</si>
  <si>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</si>
  <si>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PINTURA TINTA DE ACABAMENTO (PIGMENTADA) ESMALTE SINTÉTICO ACETINADO EM MADEIRA, 2 DEMÃOS. AF_01/2021</t>
  </si>
  <si>
    <t>REINSTALAÇÃO DE VASO SANITÁRIO LOUÇA BRANCA COMPLETO</t>
  </si>
  <si>
    <t>ASSENTO SANITÁRIO CONVENCIONAL - FORNECIMENTO E INSTALACAO. AF_01/2020</t>
  </si>
  <si>
    <t>REINSTALAÇÃO DE LAVATÓRIO, TORNEIRA E VÁLVULA COM SIFÃO E ENGATE NOVOS</t>
  </si>
  <si>
    <t>REVESTIMENTO CERÂMICO PARA PAREDES INTERNAS COM PLACAS TIPO ESMALTADA DE DIMENSÕES 33X45 CM APLICADAS NA ALTURA INTEIRA DAS PAREDES. AF_02/2023_PE</t>
  </si>
  <si>
    <t>FUNDO SELADOR ACRÍLICO, APLICAÇÃO MANUAL EM TETO, UMA DEMÃO. AF_04/2023</t>
  </si>
  <si>
    <t>EMASSAMENTO COM MASSA LÁTEX, APLICAÇÃO EM TETO, DUAS DEMÃOS, LIXAMENTO MANUAL. AF_04/2023</t>
  </si>
  <si>
    <t>PINTURA LÁTEX ACRÍLICA STANDARD, APLICAÇÃO MANUAL EM TETO, DUAS DEMÃOS. AF_04/2023</t>
  </si>
  <si>
    <t>RASGO LINEAR MECANIZADO EM ALVENARIA, PARA ELETRODUTOS, DIÂMETROS MENORES OU IGUAIS A 40 MM. AF_09/2023</t>
  </si>
  <si>
    <t>CHUMBAMENTO LINEAR EM ALVENARIA PARA ELETRODUTOS COM DIÂMETROS MENORES OU IGUAIS A 40 MM. AF_09/2023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</si>
  <si>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</si>
  <si>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</si>
  <si>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CAIXA SEXTAVADA 3" X 3", METÁLICA, INSTALADA EM LAJE - FORNECIMENTO E INSTALAÇÃO. AF_03/2023</t>
  </si>
  <si>
    <t>LUMINÁRIA TIPO PLAFON CIRCULAR, DE SOBREPOR, COM LED DE 18 W, APROX. 1260 LM E DIÂMETRO 21-22 CM - FORNECIMENTO E INSTALAÇÃO</t>
  </si>
  <si>
    <t>DEMOLIÇÃO DE ARGAMASSAS, DE FORMA MANUAL, SEM REAPROVEITAMENTO. AF_09/2023</t>
  </si>
  <si>
    <t>TRATAMENTO DE JUNTA DE DILATAÇÃO, COM TARUGO DE POLIETILENO E SELANTE PU, INCLUSO PREENCHIMENTO COM ESPUMA EXPANSIVA PU. AF_09/2023</t>
  </si>
  <si>
    <t>CHAPISCO APLICADO EM ALVENARIA (SEM PRESENÇA DE VÃOS) E ESTRUTURAS DE CONCRETO DE FACHADA, COM COLHER DE PEDREIRO. ARGAMASSA TRAÇO 1:3 COM PREPARO EM BETONEIRA 400L. AF_10/2022</t>
  </si>
  <si>
    <t>EMBOÇO OU MASSA ÚNICA EM ARGAMASSA TRAÇO 1:2:8, PREPARO MECÂNICO COM BETONEIRA 400 L, APLICADA MANUALMENTE EM PANOS DE FACHADA COM PRESENÇA DE VÃOS, ESPESSURA DE 25 MM. AF_08/2022</t>
  </si>
  <si>
    <t>APLICAÇÃO MANUAL DE FUNDO SELADOR ACRÍLICO EM PAREDES EXTERNAS DE CASAS. AF_03/2024</t>
  </si>
  <si>
    <t>APLICAÇÃO MANUAL DE MASSA ACRÍLICA EM PAREDES EXTERNAS DE CASAS, DUAS DEMÃOS. AF_03/2024</t>
  </si>
  <si>
    <t>APLICAÇÃO MANUAL DE TINTA LÁTEX ACRÍLICA EM PAREDE EXTERNAS DE CASAS, DUAS DEMÃOS. AF_03/2024</t>
  </si>
  <si>
    <t>RECOMPOSIÇÃO DE BASE E OU SUB-BASE PARA FECHAMENTO DE VALAS DE BRITA GRADUADA SIMPLES - INCLUSO RETIRADA E COLOCAÇÃO DO MATERIAL. AF_12/2020</t>
  </si>
  <si>
    <t>RECOMPOSIÇÃO DE PAVIMENTO EM PISO INTERTRAVADO, COM REAPROVEITAMENTO DOS BLOCOS INTERTRAVADOS, PARA FECHAMENTO DE VALAS - INCLUSO RETIRADA E COLOCAÇÃO DO MATERIAL. AF_12/2020</t>
  </si>
  <si>
    <t>CAIXA ENTERRADA HIDRÁULICA RETANGULAR EM ALVENARIA COM TIJOLOS CERÂMICOS MACIÇOS, DIMENSÕES INTERNAS: 0,6X0,6X0,6 M PARA REDE DE DRENAGEM. AF_12/2020</t>
  </si>
  <si>
    <t>TUBO PVC, SÉRIE R, ÁGUA PLUVIAL, DN 150 MM, FORNECIDO E INSTALADO EM RAMAL DE ENCAMINHAMENTO. AF_06/2022</t>
  </si>
  <si>
    <t>REATERRO MANUAL DE VALAS, COM COMPACTADOR DE SOLOS DE PERCUSSÃO. AF_08/2023</t>
  </si>
  <si>
    <t>CARGA, MANOBRA E DESCARGA DE ENTULHO EM CAMINHÃO BASCULANTE 6 M³ - CARGA COM ESCAVADEIRA HIDRÁULICA (CAÇAMBA DE 0,80 M³ / 111 HP) E DESCARGA LIVRE (UNIDADE: M3). AF_07/2020</t>
  </si>
  <si>
    <t>REMOÇÃO DE TAPUME/ CHAPAS METÁLICAS E DE MADEIRA, DE FORMA MANUAL, SEM REAPROVEITAMENTO. AF_09/2023</t>
  </si>
  <si>
    <t>LIMPEZA FINAL DE OBRA</t>
  </si>
  <si>
    <t>M2</t>
  </si>
  <si>
    <t>UN</t>
  </si>
  <si>
    <t>MES</t>
  </si>
  <si>
    <t>MXMES</t>
  </si>
  <si>
    <t>M</t>
  </si>
  <si>
    <t>M2XKM</t>
  </si>
  <si>
    <t>MXKM</t>
  </si>
  <si>
    <t>UNIDADE</t>
  </si>
  <si>
    <t>M3</t>
  </si>
  <si>
    <t>H</t>
  </si>
  <si>
    <t>UND</t>
  </si>
  <si>
    <t>UNID</t>
  </si>
  <si>
    <t>KG</t>
  </si>
  <si>
    <t>M3XKM</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</si>
</sst>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3">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49" fillId="0" borderId="0" xfId="0" applyFont="1" applyAlignment="1">
      <alignment horizontal="center" vertical="top" wrapTex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0" fontId="2" fillId="25" borderId="23" xfId="7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49" fontId="1" fillId="25" borderId="24" xfId="71" applyNumberForma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423">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1.emf"/><Relationship Id="rId7" Type="http://schemas.openxmlformats.org/officeDocument/2006/relationships/image" Target="../media/image12.emf"/><Relationship Id="rId2" Type="http://schemas.openxmlformats.org/officeDocument/2006/relationships/image" Target="../media/image10.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2.emf"/><Relationship Id="rId4"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14.emf"/><Relationship Id="rId1" Type="http://schemas.openxmlformats.org/officeDocument/2006/relationships/image" Target="../media/image13.emf"/><Relationship Id="rId6" Type="http://schemas.openxmlformats.org/officeDocument/2006/relationships/image" Target="../media/image15.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 xmlns:a16="http://schemas.microsoft.com/office/drawing/2014/main" id="{00000000-0008-0000-0100-0000B4600200}"/>
                </a:ext>
              </a:extLst>
            </xdr:cNvPr>
            <xdr:cNvPicPr>
              <a:picLocks noChangeArrowheads="1"/>
              <a:extLst>
                <a:ext uri="{84589F7E-364E-4C9E-8A38-B11213B215E9}">
                  <a14:cameraTool cellRange="PO!$T$1:$T$2" spid="_x0000_s282207"/>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 xmlns:a16="http://schemas.microsoft.com/office/drawing/2014/main" id="{00000000-0008-0000-0200-00009A050300}"/>
                </a:ext>
              </a:extLst>
            </xdr:cNvPr>
            <xdr:cNvPicPr>
              <a:picLocks noChangeArrowheads="1"/>
              <a:extLst>
                <a:ext uri="{84589F7E-364E-4C9E-8A38-B11213B215E9}">
                  <a14:cameraTool cellRange="DADOS!$A$220:$X$230" spid="_x0000_s288623"/>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252</xdr:row>
          <xdr:rowOff>0</xdr:rowOff>
        </xdr:from>
        <xdr:to>
          <xdr:col>19</xdr:col>
          <xdr:colOff>123825</xdr:colOff>
          <xdr:row>256</xdr:row>
          <xdr:rowOff>142875</xdr:rowOff>
        </xdr:to>
        <xdr:pic>
          <xdr:nvPicPr>
            <xdr:cNvPr id="198043" name="Picture 483">
              <a:extLst>
                <a:ext uri="{FF2B5EF4-FFF2-40B4-BE49-F238E27FC236}">
                  <a16:creationId xmlns="" xmlns:a16="http://schemas.microsoft.com/office/drawing/2014/main" id="{00000000-0008-0000-0200-00009B050300}"/>
                </a:ext>
              </a:extLst>
            </xdr:cNvPr>
            <xdr:cNvPicPr>
              <a:picLocks noChangeArrowheads="1"/>
              <a:extLst>
                <a:ext uri="{84589F7E-364E-4C9E-8A38-B11213B215E9}">
                  <a14:cameraTool cellRange="DADOS!$A$53:$K$57" spid="_x0000_s288624"/>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 xmlns:a16="http://schemas.microsoft.com/office/drawing/2014/main" id="{00000000-0008-0000-0300-0000C57E0000}"/>
                </a:ext>
              </a:extLst>
            </xdr:cNvPr>
            <xdr:cNvPicPr>
              <a:picLocks noChangeArrowheads="1"/>
              <a:extLst>
                <a:ext uri="{84589F7E-364E-4C9E-8A38-B11213B215E9}">
                  <a14:cameraTool cellRange="DADOS!$A$220:$X$230" spid="_x0000_s294249"/>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 xmlns:a16="http://schemas.microsoft.com/office/drawing/2014/main" id="{00000000-0008-0000-0300-0000C67E0000}"/>
                </a:ext>
              </a:extLst>
            </xdr:cNvPr>
            <xdr:cNvPicPr>
              <a:picLocks noChangeArrowheads="1"/>
              <a:extLst>
                <a:ext uri="{84589F7E-364E-4C9E-8A38-B11213B215E9}">
                  <a14:cameraTool cellRange="DADOS!$A$220:$X$230" spid="_x0000_s294250"/>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243</xdr:row>
          <xdr:rowOff>9525</xdr:rowOff>
        </xdr:from>
        <xdr:to>
          <xdr:col>14</xdr:col>
          <xdr:colOff>28575</xdr:colOff>
          <xdr:row>247</xdr:row>
          <xdr:rowOff>152400</xdr:rowOff>
        </xdr:to>
        <xdr:pic>
          <xdr:nvPicPr>
            <xdr:cNvPr id="32455" name="Picture 483">
              <a:extLst>
                <a:ext uri="{FF2B5EF4-FFF2-40B4-BE49-F238E27FC236}">
                  <a16:creationId xmlns="" xmlns:a16="http://schemas.microsoft.com/office/drawing/2014/main" id="{00000000-0008-0000-0300-0000C77E0000}"/>
                </a:ext>
              </a:extLst>
            </xdr:cNvPr>
            <xdr:cNvPicPr>
              <a:picLocks noChangeArrowheads="1"/>
              <a:extLst>
                <a:ext uri="{84589F7E-364E-4C9E-8A38-B11213B215E9}">
                  <a14:cameraTool cellRange="DADOS!$A$53:$K$57" spid="_x0000_s294251"/>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 xmlns:a16="http://schemas.microsoft.com/office/drawing/2014/main" id="{00000000-0008-0000-0300-0000C87E0000}"/>
                </a:ext>
              </a:extLst>
            </xdr:cNvPr>
            <xdr:cNvPicPr>
              <a:picLocks noChangeArrowheads="1"/>
              <a:extLst>
                <a:ext uri="{84589F7E-364E-4C9E-8A38-B11213B215E9}">
                  <a14:cameraTool cellRange="PO!$T$1:$T$2" spid="_x0000_s294252"/>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 xmlns:a16="http://schemas.microsoft.com/office/drawing/2014/main" id="{00000000-0008-0000-0400-0000AF150300}"/>
                </a:ext>
              </a:extLst>
            </xdr:cNvPr>
            <xdr:cNvPicPr>
              <a:picLocks noChangeArrowheads="1"/>
              <a:extLst>
                <a:ext uri="{84589F7E-364E-4C9E-8A38-B11213B215E9}">
                  <a14:cameraTool cellRange="DADOS!$A$220:$X$230" spid="_x0000_s29625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 xmlns:a16="http://schemas.microsoft.com/office/drawing/2014/main" id="{00000000-0008-0000-0400-0000B0150300}"/>
                </a:ext>
              </a:extLst>
            </xdr:cNvPr>
            <xdr:cNvPicPr>
              <a:picLocks noChangeArrowheads="1"/>
              <a:extLst>
                <a:ext uri="{84589F7E-364E-4C9E-8A38-B11213B215E9}">
                  <a14:cameraTool cellRange="DADOS!$A$220:$X$230" spid="_x0000_s296252"/>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55</xdr:row>
          <xdr:rowOff>0</xdr:rowOff>
        </xdr:from>
        <xdr:to>
          <xdr:col>22</xdr:col>
          <xdr:colOff>28575</xdr:colOff>
          <xdr:row>59</xdr:row>
          <xdr:rowOff>142875</xdr:rowOff>
        </xdr:to>
        <xdr:pic>
          <xdr:nvPicPr>
            <xdr:cNvPr id="202161" name="Picture 483">
              <a:extLst>
                <a:ext uri="{FF2B5EF4-FFF2-40B4-BE49-F238E27FC236}">
                  <a16:creationId xmlns="" xmlns:a16="http://schemas.microsoft.com/office/drawing/2014/main" id="{00000000-0008-0000-0400-0000B1150300}"/>
                </a:ext>
              </a:extLst>
            </xdr:cNvPr>
            <xdr:cNvPicPr>
              <a:picLocks noChangeArrowheads="1"/>
              <a:extLst>
                <a:ext uri="{84589F7E-364E-4C9E-8A38-B11213B215E9}">
                  <a14:cameraTool cellRange="DADOS!$A$53:$K$57" spid="_x0000_s296253"/>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 xmlns:a16="http://schemas.microsoft.com/office/drawing/2014/main" id="{00000000-0008-0000-0400-0000B2150300}"/>
                </a:ext>
              </a:extLst>
            </xdr:cNvPr>
            <xdr:cNvPicPr>
              <a:picLocks noChangeArrowheads="1"/>
              <a:extLst>
                <a:ext uri="{84589F7E-364E-4C9E-8A38-B11213B215E9}">
                  <a14:cameraTool cellRange="PO!$T$1:$T$2" spid="_x0000_s296254"/>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142875</xdr:rowOff>
        </xdr:to>
        <xdr:pic>
          <xdr:nvPicPr>
            <xdr:cNvPr id="202163" name="Picture 2483">
              <a:extLst>
                <a:ext uri="{FF2B5EF4-FFF2-40B4-BE49-F238E27FC236}">
                  <a16:creationId xmlns="" xmlns:a16="http://schemas.microsoft.com/office/drawing/2014/main" id="{00000000-0008-0000-0400-0000B3150300}"/>
                </a:ext>
              </a:extLst>
            </xdr:cNvPr>
            <xdr:cNvPicPr>
              <a:picLocks noChangeArrowheads="1"/>
              <a:extLst>
                <a:ext uri="{84589F7E-364E-4C9E-8A38-B11213B215E9}">
                  <a14:cameraTool cellRange="DADOS!$A$53:$K$57" spid="_x0000_s29625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 xmlns:a16="http://schemas.microsoft.com/office/drawing/2014/main" id="{00000000-0008-0000-0400-0000B4150300}"/>
                </a:ext>
              </a:extLst>
            </xdr:cNvPr>
            <xdr:cNvPicPr>
              <a:picLocks noChangeArrowheads="1"/>
              <a:extLst>
                <a:ext uri="{84589F7E-364E-4C9E-8A38-B11213B215E9}">
                  <a14:cameraTool cellRange="PO!$T$1:$T$2" spid="_x0000_s29625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142875</xdr:rowOff>
        </xdr:to>
        <xdr:pic>
          <xdr:nvPicPr>
            <xdr:cNvPr id="202165" name="Picture 2485">
              <a:extLst>
                <a:ext uri="{FF2B5EF4-FFF2-40B4-BE49-F238E27FC236}">
                  <a16:creationId xmlns="" xmlns:a16="http://schemas.microsoft.com/office/drawing/2014/main" id="{00000000-0008-0000-0400-0000B5150300}"/>
                </a:ext>
              </a:extLst>
            </xdr:cNvPr>
            <xdr:cNvPicPr>
              <a:picLocks noChangeArrowheads="1"/>
              <a:extLst>
                <a:ext uri="{84589F7E-364E-4C9E-8A38-B11213B215E9}">
                  <a14:cameraTool cellRange="DADOS!$A$53:$K$57" spid="_x0000_s296257"/>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 xmlns:a16="http://schemas.microsoft.com/office/drawing/2014/main" id="{00000000-0008-0000-0400-0000B6150300}"/>
                </a:ext>
              </a:extLst>
            </xdr:cNvPr>
            <xdr:cNvPicPr>
              <a:picLocks noChangeArrowheads="1"/>
              <a:extLst>
                <a:ext uri="{84589F7E-364E-4C9E-8A38-B11213B215E9}">
                  <a14:cameraTool cellRange="PO!$T$1:$T$2" spid="_x0000_s29625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142875</xdr:rowOff>
        </xdr:to>
        <xdr:pic>
          <xdr:nvPicPr>
            <xdr:cNvPr id="202167" name="Picture 2487">
              <a:extLst>
                <a:ext uri="{FF2B5EF4-FFF2-40B4-BE49-F238E27FC236}">
                  <a16:creationId xmlns="" xmlns:a16="http://schemas.microsoft.com/office/drawing/2014/main" id="{00000000-0008-0000-0400-0000B7150300}"/>
                </a:ext>
              </a:extLst>
            </xdr:cNvPr>
            <xdr:cNvPicPr>
              <a:picLocks noChangeArrowheads="1"/>
              <a:extLst>
                <a:ext uri="{84589F7E-364E-4C9E-8A38-B11213B215E9}">
                  <a14:cameraTool cellRange="DADOS!$A$53:$K$57" spid="_x0000_s296259"/>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 xmlns:a16="http://schemas.microsoft.com/office/drawing/2014/main" id="{00000000-0008-0000-0400-0000B8150300}"/>
                </a:ext>
              </a:extLst>
            </xdr:cNvPr>
            <xdr:cNvPicPr>
              <a:picLocks noChangeArrowheads="1"/>
              <a:extLst>
                <a:ext uri="{84589F7E-364E-4C9E-8A38-B11213B215E9}">
                  <a14:cameraTool cellRange="PO!$T$1:$T$2" spid="_x0000_s29626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142875</xdr:rowOff>
        </xdr:to>
        <xdr:pic>
          <xdr:nvPicPr>
            <xdr:cNvPr id="202169" name="Picture 2489">
              <a:extLst>
                <a:ext uri="{FF2B5EF4-FFF2-40B4-BE49-F238E27FC236}">
                  <a16:creationId xmlns="" xmlns:a16="http://schemas.microsoft.com/office/drawing/2014/main" id="{00000000-0008-0000-0400-0000B9150300}"/>
                </a:ext>
              </a:extLst>
            </xdr:cNvPr>
            <xdr:cNvPicPr>
              <a:picLocks noChangeArrowheads="1"/>
              <a:extLst>
                <a:ext uri="{84589F7E-364E-4C9E-8A38-B11213B215E9}">
                  <a14:cameraTool cellRange="DADOS!$A$53:$K$57" spid="_x0000_s296261"/>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 xmlns:a16="http://schemas.microsoft.com/office/drawing/2014/main" id="{00000000-0008-0000-0400-0000BA150300}"/>
                </a:ext>
              </a:extLst>
            </xdr:cNvPr>
            <xdr:cNvPicPr>
              <a:picLocks noChangeArrowheads="1"/>
              <a:extLst>
                <a:ext uri="{84589F7E-364E-4C9E-8A38-B11213B215E9}">
                  <a14:cameraTool cellRange="PO!$T$1:$T$2" spid="_x0000_s29626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142875</xdr:rowOff>
        </xdr:to>
        <xdr:pic>
          <xdr:nvPicPr>
            <xdr:cNvPr id="202171" name="Picture 2491">
              <a:extLst>
                <a:ext uri="{FF2B5EF4-FFF2-40B4-BE49-F238E27FC236}">
                  <a16:creationId xmlns="" xmlns:a16="http://schemas.microsoft.com/office/drawing/2014/main" id="{00000000-0008-0000-0400-0000BB150300}"/>
                </a:ext>
              </a:extLst>
            </xdr:cNvPr>
            <xdr:cNvPicPr>
              <a:picLocks noChangeArrowheads="1"/>
              <a:extLst>
                <a:ext uri="{84589F7E-364E-4C9E-8A38-B11213B215E9}">
                  <a14:cameraTool cellRange="DADOS!$A$53:$K$57" spid="_x0000_s296263"/>
                </a:ext>
              </a:extLst>
            </xdr:cNvPicPr>
          </xdr:nvPicPr>
          <xdr:blipFill>
            <a:blip xmlns:r="http://schemas.openxmlformats.org/officeDocument/2006/relationships" r:embed="rId7"/>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 xmlns:a16="http://schemas.microsoft.com/office/drawing/2014/main" id="{00000000-0008-0000-0400-0000BC150300}"/>
                </a:ext>
              </a:extLst>
            </xdr:cNvPr>
            <xdr:cNvPicPr>
              <a:picLocks noChangeArrowheads="1"/>
              <a:extLst>
                <a:ext uri="{84589F7E-364E-4C9E-8A38-B11213B215E9}">
                  <a14:cameraTool cellRange="PO!$T$1:$T$2" spid="_x0000_s29626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zoomScale="70" zoomScaleNormal="70" zoomScaleSheetLayoutView="100" workbookViewId="0">
      <selection activeCell="P29" sqref="P29:X29"/>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3" t="s">
        <v>186</v>
      </c>
      <c r="B16" s="274"/>
      <c r="C16" s="274"/>
      <c r="D16" s="274"/>
      <c r="E16" s="274"/>
      <c r="F16" s="274"/>
      <c r="G16" s="274"/>
      <c r="H16" s="274"/>
      <c r="I16" s="274"/>
      <c r="J16" s="274"/>
      <c r="K16" s="274"/>
      <c r="L16" s="274"/>
      <c r="M16" s="274"/>
      <c r="N16" s="274"/>
      <c r="O16" s="274"/>
      <c r="P16" s="274"/>
      <c r="Q16" s="274"/>
      <c r="R16" s="274"/>
      <c r="S16" s="274"/>
      <c r="T16" s="274"/>
      <c r="U16" s="274"/>
      <c r="V16" s="274"/>
      <c r="W16" s="274"/>
      <c r="X16" s="274"/>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8" t="s">
        <v>187</v>
      </c>
      <c r="B18" s="248"/>
      <c r="C18" s="249"/>
      <c r="D18" s="249"/>
      <c r="E18" s="249"/>
      <c r="F18" s="249"/>
      <c r="G18" s="249"/>
      <c r="H18" s="249"/>
      <c r="I18" s="249"/>
      <c r="J18" s="249"/>
      <c r="K18" s="249"/>
      <c r="L18" s="249"/>
      <c r="M18" s="249"/>
      <c r="N18" s="249"/>
      <c r="O18" s="249"/>
      <c r="P18" s="249"/>
      <c r="Q18" s="249"/>
      <c r="R18" s="249"/>
      <c r="S18" s="249"/>
      <c r="T18" s="249"/>
      <c r="U18" s="249"/>
      <c r="V18" s="249"/>
      <c r="W18" s="249"/>
      <c r="X18" s="249"/>
    </row>
    <row r="21" spans="1:25" x14ac:dyDescent="0.2">
      <c r="A21"/>
    </row>
    <row r="22" spans="1:25" ht="12.75" customHeight="1" x14ac:dyDescent="0.2">
      <c r="A22" s="273" t="s">
        <v>189</v>
      </c>
      <c r="B22" s="274"/>
      <c r="C22" s="274"/>
      <c r="D22" s="274"/>
      <c r="E22" s="274"/>
      <c r="F22" s="274"/>
      <c r="G22" s="274"/>
      <c r="H22" s="274"/>
      <c r="I22" s="274"/>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8" t="s">
        <v>190</v>
      </c>
      <c r="B24" s="248"/>
      <c r="C24" s="249"/>
      <c r="D24" s="249"/>
      <c r="E24" s="249"/>
      <c r="F24" s="249"/>
      <c r="G24" s="249"/>
      <c r="H24" s="249"/>
      <c r="I24" s="249"/>
      <c r="J24" s="249"/>
      <c r="K24" s="249"/>
      <c r="L24" s="249"/>
      <c r="M24" s="249"/>
      <c r="N24" s="249"/>
      <c r="O24" s="249"/>
      <c r="P24" s="249"/>
      <c r="Q24" s="249"/>
      <c r="R24" s="249"/>
      <c r="S24" s="249"/>
      <c r="T24" s="249"/>
      <c r="U24" s="249"/>
      <c r="V24" s="249"/>
      <c r="W24" s="249"/>
      <c r="X24" s="249"/>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4" t="s">
        <v>191</v>
      </c>
      <c r="B26" s="214"/>
      <c r="C26" s="215"/>
      <c r="D26" s="215"/>
      <c r="E26" s="215"/>
      <c r="F26" s="215"/>
      <c r="G26" s="215"/>
      <c r="H26" s="215"/>
      <c r="I26" s="215"/>
      <c r="J26" s="215"/>
      <c r="K26" s="215"/>
      <c r="L26" s="215"/>
      <c r="M26" s="215"/>
      <c r="N26" s="215"/>
      <c r="O26" s="215"/>
      <c r="P26" s="215"/>
      <c r="Q26" s="215"/>
      <c r="R26" s="215"/>
      <c r="S26" s="215"/>
      <c r="T26" s="215"/>
      <c r="U26" s="215"/>
      <c r="V26" s="215"/>
      <c r="W26" s="215"/>
      <c r="X26" s="215"/>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06"/>
      <c r="B29" s="210"/>
      <c r="C29" s="206"/>
      <c r="D29" s="207"/>
      <c r="E29" s="208"/>
      <c r="F29" s="206"/>
      <c r="G29" s="209"/>
      <c r="H29" s="209"/>
      <c r="I29" s="210"/>
      <c r="J29" s="206"/>
      <c r="K29" s="209"/>
      <c r="L29" s="209"/>
      <c r="M29" s="209"/>
      <c r="N29" s="209"/>
      <c r="O29" s="210"/>
      <c r="P29" s="206" t="s">
        <v>434</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1" t="s">
        <v>238</v>
      </c>
      <c r="B32" s="212"/>
      <c r="C32" s="212"/>
      <c r="D32" s="212"/>
      <c r="E32" s="212"/>
      <c r="F32" s="213"/>
      <c r="G32" s="206" t="s">
        <v>230</v>
      </c>
      <c r="H32" s="207"/>
      <c r="I32" s="207"/>
      <c r="J32" s="208"/>
      <c r="K32" s="206" t="s">
        <v>345</v>
      </c>
      <c r="L32" s="209"/>
      <c r="M32" s="209"/>
      <c r="N32" s="209"/>
      <c r="O32" s="209"/>
      <c r="P32" s="210"/>
      <c r="Q32" s="206" t="str">
        <f>Import.ObjetoCR</f>
        <v>REFORMA DE COBERTURAS, FORROS E ELÉTRICA - EMEF PRINCESA ISABEL</v>
      </c>
      <c r="R32" s="209"/>
      <c r="S32" s="209"/>
      <c r="T32" s="209"/>
      <c r="U32" s="209"/>
      <c r="V32" s="209"/>
      <c r="W32" s="209"/>
      <c r="X32" s="210"/>
    </row>
    <row r="33" spans="1:24" ht="9" customHeight="1" x14ac:dyDescent="0.2"/>
    <row r="34" spans="1:24" s="19" customFormat="1" x14ac:dyDescent="0.2"/>
    <row r="35" spans="1:24" ht="12.75" customHeight="1" x14ac:dyDescent="0.2">
      <c r="A35" s="214" t="s">
        <v>192</v>
      </c>
      <c r="B35" s="214"/>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8">
        <v>45757</v>
      </c>
      <c r="B38" s="239"/>
      <c r="C38" s="77" t="s">
        <v>233</v>
      </c>
      <c r="D38" s="206" t="s">
        <v>78</v>
      </c>
      <c r="E38" s="207"/>
      <c r="F38" s="208"/>
      <c r="G38" s="206" t="str">
        <f>Import.Apelido</f>
        <v>REFORMA DE COBERTURAS, FORROS E ELÉTRICA - EMEF PRINCESA ISABEL</v>
      </c>
      <c r="H38" s="207"/>
      <c r="I38" s="207"/>
      <c r="J38" s="207"/>
      <c r="K38" s="207"/>
      <c r="L38" s="207"/>
      <c r="M38" s="207"/>
      <c r="N38" s="207"/>
      <c r="O38" s="207"/>
      <c r="P38" s="207"/>
      <c r="Q38" s="207"/>
      <c r="R38" s="207"/>
      <c r="S38" s="208"/>
      <c r="T38" s="80">
        <f ca="1">IF(ISERROR(INDIRECT("'BDI ("&amp;RIGHT(T37,1)&amp;")'!N27")),"",INDIRECT("'BDI ("&amp;RIGHT(T37,1)&amp;")'!N27"))</f>
        <v>0.21390000000000001</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4" t="s">
        <v>162</v>
      </c>
      <c r="B40" s="214"/>
      <c r="C40" s="215"/>
      <c r="D40" s="215"/>
      <c r="E40" s="215"/>
      <c r="F40" s="215"/>
      <c r="G40" s="215"/>
      <c r="H40" s="215"/>
      <c r="I40" s="215"/>
      <c r="J40" s="215"/>
      <c r="K40" s="215"/>
      <c r="L40" s="215"/>
      <c r="M40" s="215"/>
      <c r="N40" s="215"/>
      <c r="O40" s="215"/>
      <c r="P40" s="215"/>
      <c r="Q40" s="215"/>
      <c r="R40" s="215"/>
      <c r="S40" s="215"/>
      <c r="T40" s="215"/>
      <c r="U40" s="215"/>
      <c r="V40" s="215"/>
      <c r="W40" s="215"/>
      <c r="X40" s="215"/>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6" t="s">
        <v>89</v>
      </c>
      <c r="V42" s="237"/>
      <c r="W42" s="236" t="s">
        <v>90</v>
      </c>
      <c r="X42" s="237"/>
    </row>
    <row r="43" spans="1:24" ht="12.75" customHeight="1" x14ac:dyDescent="0.2">
      <c r="A43" s="211"/>
      <c r="B43" s="270"/>
      <c r="C43" s="206"/>
      <c r="D43" s="207"/>
      <c r="E43" s="207"/>
      <c r="F43" s="207"/>
      <c r="G43" s="207"/>
      <c r="H43" s="238"/>
      <c r="I43" s="239"/>
      <c r="J43" s="74"/>
      <c r="K43" s="216"/>
      <c r="L43" s="217"/>
      <c r="M43" s="218"/>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4" t="s">
        <v>193</v>
      </c>
      <c r="B45" s="214"/>
      <c r="C45" s="215"/>
      <c r="D45" s="215"/>
      <c r="E45" s="215"/>
      <c r="F45" s="215"/>
      <c r="G45" s="215"/>
      <c r="H45" s="215"/>
      <c r="I45" s="215"/>
      <c r="J45" s="215"/>
      <c r="K45" s="215"/>
      <c r="L45" s="215"/>
      <c r="M45" s="215"/>
      <c r="N45" s="215"/>
      <c r="O45" s="215"/>
      <c r="P45" s="215"/>
      <c r="Q45" s="215"/>
      <c r="R45" s="215"/>
      <c r="S45" s="215"/>
      <c r="T45" s="215"/>
      <c r="U45" s="215"/>
      <c r="V45" s="215"/>
      <c r="W45" s="215"/>
      <c r="X45" s="215"/>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2">
        <v>45787</v>
      </c>
      <c r="B48" s="243"/>
      <c r="C48" s="244"/>
      <c r="E48" s="29"/>
      <c r="F48"/>
      <c r="G48"/>
      <c r="H48"/>
    </row>
    <row r="49" spans="1:24" x14ac:dyDescent="0.2">
      <c r="F49" s="25"/>
      <c r="G49" s="26"/>
      <c r="H49" s="27"/>
    </row>
    <row r="50" spans="1:24" x14ac:dyDescent="0.2">
      <c r="A50" s="214" t="s">
        <v>194</v>
      </c>
      <c r="B50" s="214"/>
      <c r="C50" s="215"/>
      <c r="D50" s="215"/>
      <c r="E50" s="215"/>
      <c r="F50" s="215"/>
      <c r="G50" s="215"/>
      <c r="H50" s="215"/>
      <c r="I50" s="215"/>
      <c r="J50" s="215"/>
      <c r="K50" s="215"/>
      <c r="L50" s="215"/>
      <c r="M50" s="215"/>
      <c r="N50" s="215"/>
      <c r="O50" s="215"/>
      <c r="P50" s="215"/>
      <c r="Q50" s="215"/>
      <c r="R50" s="215"/>
      <c r="S50" s="215"/>
      <c r="T50" s="215"/>
      <c r="U50" s="215"/>
      <c r="V50" s="215"/>
      <c r="W50" s="215"/>
      <c r="X50" s="215"/>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46"/>
      <c r="C54" s="247"/>
      <c r="D54" s="247"/>
      <c r="E54" s="247"/>
      <c r="F54" s="25"/>
      <c r="G54" s="86" t="s">
        <v>140</v>
      </c>
      <c r="H54" s="246"/>
      <c r="I54" s="247"/>
      <c r="J54" s="247"/>
      <c r="K54" s="247"/>
    </row>
    <row r="55" spans="1:24" x14ac:dyDescent="0.2">
      <c r="A55" s="86" t="str">
        <f>IF(OR(TipoOrçamento="BASE",TipoOrçamento="REPROGRAMADONPL"),"Título:","Cargo:")</f>
        <v>Cargo:</v>
      </c>
      <c r="B55" s="246"/>
      <c r="C55" s="247"/>
      <c r="D55" s="247"/>
      <c r="E55" s="247"/>
      <c r="F55" s="25"/>
      <c r="G55" s="86" t="str">
        <f>A55</f>
        <v>Cargo:</v>
      </c>
      <c r="H55" s="246"/>
      <c r="I55" s="247"/>
      <c r="J55" s="247"/>
      <c r="K55" s="247"/>
    </row>
    <row r="56" spans="1:24" x14ac:dyDescent="0.2">
      <c r="A56" s="86" t="str">
        <f>IF(OR(TipoOrçamento="BASE",TipoOrçamento="REPROGRAMADONPL"),"CREA/CAU:","Empresa:")</f>
        <v>Empresa:</v>
      </c>
      <c r="B56" s="252"/>
      <c r="C56" s="245"/>
      <c r="D56" s="245"/>
      <c r="E56" s="245"/>
      <c r="F56" s="25"/>
      <c r="G56" s="86" t="str">
        <f>A56</f>
        <v>Empresa:</v>
      </c>
      <c r="H56" s="245"/>
      <c r="I56" s="245"/>
      <c r="J56" s="245"/>
      <c r="K56" s="245"/>
    </row>
    <row r="57" spans="1:24" x14ac:dyDescent="0.2">
      <c r="A57" s="86" t="str">
        <f>IF(OR(TipoOrçamento="BASE",TipoOrçamento="REPROGRAMADONPL"),"ART/RRT:","CNPJ:")</f>
        <v>CNPJ:</v>
      </c>
      <c r="B57" s="252"/>
      <c r="C57" s="245"/>
      <c r="D57" s="245"/>
      <c r="E57" s="245"/>
      <c r="F57" s="25"/>
      <c r="G57" s="86" t="str">
        <f>A57</f>
        <v>CNPJ:</v>
      </c>
      <c r="H57" s="245"/>
      <c r="I57" s="245"/>
      <c r="J57" s="245"/>
      <c r="K57" s="245"/>
    </row>
    <row r="58" spans="1:24" x14ac:dyDescent="0.2">
      <c r="F58" s="25"/>
      <c r="G58" s="26"/>
      <c r="H58" s="27"/>
    </row>
    <row r="59" spans="1:24" x14ac:dyDescent="0.2">
      <c r="F59" s="25"/>
      <c r="G59" s="26"/>
      <c r="H59" s="27"/>
    </row>
    <row r="60" spans="1:24" ht="12.75" customHeight="1" x14ac:dyDescent="0.2">
      <c r="A60" s="248" t="s">
        <v>195</v>
      </c>
      <c r="B60" s="248"/>
      <c r="C60" s="249"/>
      <c r="D60" s="249"/>
      <c r="E60" s="249"/>
      <c r="F60" s="249"/>
      <c r="G60" s="249"/>
      <c r="H60" s="249"/>
      <c r="I60" s="249"/>
      <c r="J60" s="249"/>
      <c r="K60" s="249"/>
      <c r="L60" s="249"/>
      <c r="M60" s="249"/>
      <c r="N60" s="249"/>
      <c r="O60" s="249"/>
      <c r="P60" s="249"/>
      <c r="Q60" s="249"/>
      <c r="R60" s="249"/>
      <c r="S60" s="249"/>
      <c r="T60" s="249"/>
      <c r="U60" s="249"/>
      <c r="V60" s="249"/>
      <c r="W60" s="249"/>
      <c r="X60" s="249"/>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0" t="s">
        <v>196</v>
      </c>
      <c r="B62" s="271"/>
      <c r="C62" s="272"/>
      <c r="D62" s="272"/>
      <c r="E62" s="272"/>
      <c r="F62" s="272"/>
      <c r="G62" s="272"/>
      <c r="H62" s="272"/>
      <c r="I62" s="272"/>
      <c r="J62" s="272"/>
      <c r="K62" s="272"/>
      <c r="L62" s="272"/>
      <c r="M62" s="272"/>
      <c r="N62" s="272"/>
      <c r="O62" s="272"/>
      <c r="P62" s="272"/>
      <c r="Q62" s="272"/>
      <c r="R62" s="272"/>
      <c r="S62" s="272"/>
      <c r="T62" s="272"/>
      <c r="U62" s="272"/>
      <c r="V62" s="272"/>
      <c r="W62" s="272"/>
      <c r="X62" s="272"/>
    </row>
    <row r="63" spans="1:24" ht="30" customHeight="1" x14ac:dyDescent="0.2">
      <c r="A63" s="250" t="s">
        <v>197</v>
      </c>
      <c r="B63" s="250"/>
      <c r="C63" s="251"/>
      <c r="D63" s="251"/>
      <c r="E63" s="251"/>
      <c r="F63" s="251"/>
      <c r="G63" s="251"/>
      <c r="H63" s="251"/>
      <c r="I63" s="251"/>
      <c r="J63" s="251"/>
      <c r="K63" s="251"/>
      <c r="L63" s="251"/>
      <c r="M63" s="251"/>
      <c r="N63" s="251"/>
      <c r="O63" s="251"/>
      <c r="P63" s="251"/>
      <c r="Q63" s="251"/>
      <c r="R63" s="251"/>
      <c r="S63" s="251"/>
      <c r="T63" s="251"/>
      <c r="U63" s="251"/>
      <c r="V63" s="251"/>
      <c r="W63" s="251"/>
      <c r="X63" s="251"/>
    </row>
    <row r="64" spans="1:24" x14ac:dyDescent="0.2">
      <c r="F64" s="25"/>
      <c r="G64" s="26"/>
      <c r="H64" s="27"/>
    </row>
    <row r="65" spans="1:24" ht="12.75" customHeight="1" x14ac:dyDescent="0.2">
      <c r="A65" s="248" t="s">
        <v>198</v>
      </c>
      <c r="B65" s="248"/>
      <c r="C65" s="249"/>
      <c r="D65" s="249"/>
      <c r="E65" s="249"/>
      <c r="F65" s="249"/>
      <c r="G65" s="249"/>
      <c r="H65" s="249"/>
      <c r="I65" s="249"/>
      <c r="J65" s="249"/>
      <c r="K65" s="249"/>
      <c r="L65" s="249"/>
      <c r="M65" s="249"/>
      <c r="N65" s="249"/>
      <c r="O65" s="249"/>
      <c r="P65" s="249"/>
      <c r="Q65" s="249"/>
      <c r="R65" s="249"/>
      <c r="S65" s="249"/>
      <c r="T65" s="249"/>
      <c r="U65" s="249"/>
      <c r="V65" s="249"/>
      <c r="W65" s="249"/>
      <c r="X65" s="249"/>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4" t="s">
        <v>199</v>
      </c>
      <c r="B67" s="214"/>
      <c r="C67" s="215"/>
      <c r="D67" s="215"/>
      <c r="E67" s="215"/>
      <c r="F67" s="215"/>
      <c r="G67" s="215"/>
      <c r="H67" s="215"/>
      <c r="I67" s="215"/>
      <c r="J67" s="215"/>
      <c r="K67" s="215"/>
      <c r="L67" s="215"/>
      <c r="M67" s="215"/>
      <c r="N67" s="215"/>
      <c r="O67" s="215"/>
      <c r="P67" s="215"/>
      <c r="Q67" s="215"/>
      <c r="R67" s="215"/>
      <c r="S67" s="215"/>
      <c r="T67" s="215"/>
      <c r="U67" s="215"/>
      <c r="V67" s="215"/>
      <c r="W67" s="215"/>
      <c r="X67" s="215"/>
    </row>
    <row r="68" spans="1:24" x14ac:dyDescent="0.2">
      <c r="A68" s="214" t="s">
        <v>200</v>
      </c>
      <c r="B68" s="214"/>
      <c r="C68" s="215"/>
      <c r="D68" s="215"/>
      <c r="E68" s="215"/>
      <c r="F68" s="215"/>
      <c r="G68" s="215"/>
      <c r="H68" s="215"/>
      <c r="I68" s="215"/>
      <c r="J68" s="215"/>
      <c r="K68" s="215"/>
      <c r="L68" s="215"/>
      <c r="M68" s="215"/>
      <c r="N68" s="215"/>
      <c r="O68" s="215"/>
      <c r="P68" s="215"/>
      <c r="Q68" s="215"/>
      <c r="R68" s="215"/>
      <c r="S68" s="215"/>
      <c r="T68" s="215"/>
      <c r="U68" s="215"/>
      <c r="V68" s="215"/>
      <c r="W68" s="215"/>
      <c r="X68" s="215"/>
    </row>
    <row r="69" spans="1:24" ht="12.75" customHeight="1" x14ac:dyDescent="0.2">
      <c r="A69" s="214" t="s">
        <v>201</v>
      </c>
      <c r="B69" s="214"/>
      <c r="C69" s="215"/>
      <c r="D69" s="215"/>
      <c r="E69" s="215"/>
      <c r="F69" s="215"/>
      <c r="G69" s="215"/>
      <c r="H69" s="215"/>
      <c r="I69" s="215"/>
      <c r="J69" s="215"/>
      <c r="K69" s="215"/>
      <c r="L69" s="215"/>
      <c r="M69" s="215"/>
      <c r="N69" s="215"/>
      <c r="O69" s="215"/>
      <c r="P69" s="215"/>
      <c r="Q69" s="215"/>
      <c r="R69" s="215"/>
      <c r="S69" s="215"/>
      <c r="T69" s="215"/>
      <c r="U69" s="215"/>
      <c r="V69" s="215"/>
      <c r="W69" s="215"/>
      <c r="X69" s="215"/>
    </row>
    <row r="70" spans="1:24" ht="12.75" customHeight="1" x14ac:dyDescent="0.2">
      <c r="A70" s="214" t="s">
        <v>202</v>
      </c>
      <c r="B70" s="214"/>
      <c r="C70" s="215"/>
      <c r="D70" s="215"/>
      <c r="E70" s="215"/>
      <c r="F70" s="215"/>
      <c r="G70" s="215"/>
      <c r="H70" s="215"/>
      <c r="I70" s="215"/>
      <c r="J70" s="215"/>
      <c r="K70" s="215"/>
      <c r="L70" s="215"/>
      <c r="M70" s="215"/>
      <c r="N70" s="215"/>
      <c r="O70" s="215"/>
      <c r="P70" s="215"/>
      <c r="Q70" s="215"/>
      <c r="R70" s="215"/>
      <c r="S70" s="215"/>
      <c r="T70" s="215"/>
      <c r="U70" s="215"/>
      <c r="V70" s="215"/>
      <c r="W70" s="215"/>
      <c r="X70" s="215"/>
    </row>
    <row r="71" spans="1:24" ht="12.75" customHeight="1" x14ac:dyDescent="0.2">
      <c r="A71" s="214" t="s">
        <v>203</v>
      </c>
      <c r="B71" s="214"/>
      <c r="C71" s="215"/>
      <c r="D71" s="215"/>
      <c r="E71" s="215"/>
      <c r="F71" s="215"/>
      <c r="G71" s="215"/>
      <c r="H71" s="215"/>
      <c r="I71" s="215"/>
      <c r="J71" s="215"/>
      <c r="K71" s="215"/>
      <c r="L71" s="215"/>
      <c r="M71" s="215"/>
      <c r="N71" s="215"/>
      <c r="O71" s="215"/>
      <c r="P71" s="215"/>
      <c r="Q71" s="215"/>
      <c r="R71" s="215"/>
      <c r="S71" s="215"/>
      <c r="T71" s="215"/>
      <c r="U71" s="215"/>
      <c r="V71" s="215"/>
      <c r="W71" s="215"/>
      <c r="X71" s="215"/>
    </row>
    <row r="72" spans="1:24" ht="12.75" customHeight="1" x14ac:dyDescent="0.2">
      <c r="A72" s="214" t="s">
        <v>204</v>
      </c>
      <c r="B72" s="214"/>
      <c r="C72" s="215"/>
      <c r="D72" s="215"/>
      <c r="E72" s="215"/>
      <c r="F72" s="215"/>
      <c r="G72" s="215"/>
      <c r="H72" s="215"/>
      <c r="I72" s="215"/>
      <c r="J72" s="215"/>
      <c r="K72" s="215"/>
      <c r="L72" s="215"/>
      <c r="M72" s="215"/>
      <c r="N72" s="215"/>
      <c r="O72" s="215"/>
      <c r="P72" s="215"/>
      <c r="Q72" s="215"/>
      <c r="R72" s="215"/>
      <c r="S72" s="215"/>
      <c r="T72" s="215"/>
      <c r="U72" s="215"/>
      <c r="V72" s="215"/>
      <c r="W72" s="215"/>
      <c r="X72" s="215"/>
    </row>
    <row r="73" spans="1:24" x14ac:dyDescent="0.2">
      <c r="F73" s="25"/>
      <c r="G73" s="26"/>
      <c r="H73" s="27"/>
    </row>
    <row r="74" spans="1:24" ht="12.75" customHeight="1" x14ac:dyDescent="0.2">
      <c r="A74" s="248" t="s">
        <v>205</v>
      </c>
      <c r="B74" s="248"/>
      <c r="C74" s="249"/>
      <c r="D74" s="249"/>
      <c r="E74" s="249"/>
      <c r="F74" s="249"/>
      <c r="G74" s="249"/>
      <c r="H74" s="249"/>
      <c r="I74" s="249"/>
      <c r="J74" s="249"/>
      <c r="K74" s="249"/>
      <c r="L74" s="249"/>
      <c r="M74" s="249"/>
      <c r="N74" s="249"/>
      <c r="O74" s="249"/>
      <c r="P74" s="249"/>
      <c r="Q74" s="249"/>
      <c r="R74" s="249"/>
      <c r="S74" s="249"/>
      <c r="T74" s="249"/>
      <c r="U74" s="249"/>
      <c r="V74" s="249"/>
      <c r="W74" s="249"/>
      <c r="X74" s="249"/>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4" t="s">
        <v>206</v>
      </c>
      <c r="B76" s="214"/>
      <c r="C76" s="215"/>
      <c r="D76" s="215"/>
      <c r="E76" s="215"/>
      <c r="F76" s="215"/>
      <c r="G76" s="215"/>
      <c r="H76" s="215"/>
      <c r="I76" s="215"/>
      <c r="J76" s="215"/>
      <c r="K76" s="215"/>
      <c r="L76" s="215"/>
      <c r="M76" s="215"/>
      <c r="N76" s="215"/>
      <c r="O76" s="215"/>
      <c r="P76" s="215"/>
      <c r="Q76" s="215"/>
      <c r="R76" s="215"/>
      <c r="S76" s="215"/>
      <c r="T76" s="215"/>
      <c r="U76" s="215"/>
      <c r="V76" s="215"/>
      <c r="W76" s="215"/>
      <c r="X76" s="215"/>
    </row>
    <row r="77" spans="1:24" ht="26.1" customHeight="1" x14ac:dyDescent="0.2">
      <c r="A77" s="225" t="s">
        <v>207</v>
      </c>
      <c r="B77" s="225"/>
      <c r="C77" s="226"/>
      <c r="D77" s="226"/>
      <c r="E77" s="226"/>
      <c r="F77" s="226"/>
      <c r="G77" s="226"/>
      <c r="H77" s="226"/>
      <c r="I77" s="226"/>
      <c r="J77" s="226"/>
      <c r="K77" s="226"/>
      <c r="L77" s="226"/>
      <c r="M77" s="226"/>
      <c r="N77" s="226"/>
      <c r="O77" s="226"/>
      <c r="P77" s="226"/>
      <c r="Q77" s="226"/>
      <c r="R77" s="226"/>
      <c r="S77" s="226"/>
      <c r="T77" s="226"/>
      <c r="U77" s="226"/>
      <c r="V77" s="226"/>
      <c r="W77" s="226"/>
      <c r="X77" s="226"/>
    </row>
    <row r="78" spans="1:24" ht="12.75" customHeight="1" x14ac:dyDescent="0.2">
      <c r="A78" s="214" t="s">
        <v>208</v>
      </c>
      <c r="B78" s="214"/>
      <c r="C78" s="215"/>
      <c r="D78" s="215"/>
      <c r="E78" s="215"/>
      <c r="F78" s="215"/>
      <c r="G78" s="215"/>
      <c r="H78" s="215"/>
      <c r="I78" s="215"/>
      <c r="J78" s="215"/>
      <c r="K78" s="215"/>
      <c r="L78" s="215"/>
      <c r="M78" s="215"/>
      <c r="N78" s="215"/>
      <c r="O78" s="215"/>
      <c r="P78" s="215"/>
      <c r="Q78" s="215"/>
      <c r="R78" s="215"/>
      <c r="S78" s="215"/>
      <c r="T78" s="215"/>
      <c r="U78" s="215"/>
      <c r="V78" s="215"/>
      <c r="W78" s="215"/>
      <c r="X78" s="215"/>
    </row>
    <row r="79" spans="1:24" ht="25.5" customHeight="1" x14ac:dyDescent="0.2">
      <c r="A79" s="214" t="s">
        <v>209</v>
      </c>
      <c r="B79" s="214"/>
      <c r="C79" s="215"/>
      <c r="D79" s="215"/>
      <c r="E79" s="215"/>
      <c r="F79" s="215"/>
      <c r="G79" s="215"/>
      <c r="H79" s="215"/>
      <c r="I79" s="215"/>
      <c r="J79" s="215"/>
      <c r="K79" s="215"/>
      <c r="L79" s="215"/>
      <c r="M79" s="215"/>
      <c r="N79" s="215"/>
      <c r="O79" s="215"/>
      <c r="P79" s="215"/>
      <c r="Q79" s="215"/>
      <c r="R79" s="215"/>
      <c r="S79" s="215"/>
      <c r="T79" s="215"/>
      <c r="U79" s="215"/>
      <c r="V79" s="215"/>
      <c r="W79" s="215"/>
      <c r="X79" s="215"/>
    </row>
    <row r="80" spans="1:24" x14ac:dyDescent="0.2">
      <c r="A80" s="225" t="s">
        <v>210</v>
      </c>
      <c r="B80" s="225"/>
      <c r="C80" s="226"/>
      <c r="D80" s="226"/>
      <c r="E80" s="226"/>
      <c r="F80" s="226"/>
      <c r="G80" s="226"/>
      <c r="H80" s="226"/>
      <c r="I80" s="226"/>
      <c r="J80" s="226"/>
      <c r="K80" s="226"/>
      <c r="L80" s="226"/>
      <c r="M80" s="226"/>
      <c r="N80" s="226"/>
      <c r="O80" s="226"/>
      <c r="P80" s="226"/>
      <c r="Q80" s="226"/>
      <c r="R80" s="226"/>
      <c r="S80" s="226"/>
      <c r="T80" s="226"/>
      <c r="U80" s="226"/>
      <c r="V80" s="226"/>
      <c r="W80" s="226"/>
      <c r="X80" s="226"/>
    </row>
    <row r="81" spans="1:24" ht="12.75" customHeight="1" x14ac:dyDescent="0.2">
      <c r="A81" s="214" t="s">
        <v>211</v>
      </c>
      <c r="B81" s="214"/>
      <c r="C81" s="215"/>
      <c r="D81" s="215"/>
      <c r="E81" s="215"/>
      <c r="F81" s="215"/>
      <c r="G81" s="215"/>
      <c r="H81" s="215"/>
      <c r="I81" s="215"/>
      <c r="J81" s="215"/>
      <c r="K81" s="215"/>
      <c r="L81" s="215"/>
      <c r="M81" s="215"/>
      <c r="N81" s="215"/>
      <c r="O81" s="215"/>
      <c r="P81" s="215"/>
      <c r="Q81" s="215"/>
      <c r="R81" s="215"/>
      <c r="S81" s="215"/>
      <c r="T81" s="215"/>
      <c r="U81" s="215"/>
      <c r="V81" s="215"/>
      <c r="W81" s="215"/>
      <c r="X81" s="215"/>
    </row>
    <row r="82" spans="1:24" ht="26.1" customHeight="1" x14ac:dyDescent="0.2">
      <c r="A82" s="214" t="s">
        <v>212</v>
      </c>
      <c r="B82" s="214"/>
      <c r="C82" s="215"/>
      <c r="D82" s="215"/>
      <c r="E82" s="215"/>
      <c r="F82" s="215"/>
      <c r="G82" s="215"/>
      <c r="H82" s="215"/>
      <c r="I82" s="215"/>
      <c r="J82" s="215"/>
      <c r="K82" s="215"/>
      <c r="L82" s="215"/>
      <c r="M82" s="215"/>
      <c r="N82" s="215"/>
      <c r="O82" s="215"/>
      <c r="P82" s="215"/>
      <c r="Q82" s="215"/>
      <c r="R82" s="215"/>
      <c r="S82" s="215"/>
      <c r="T82" s="215"/>
      <c r="U82" s="215"/>
      <c r="V82" s="215"/>
      <c r="W82" s="215"/>
      <c r="X82" s="215"/>
    </row>
    <row r="83" spans="1:24" ht="26.1" customHeight="1" x14ac:dyDescent="0.2">
      <c r="A83" s="214" t="s">
        <v>213</v>
      </c>
      <c r="B83" s="214"/>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24" ht="12.75" customHeight="1" x14ac:dyDescent="0.2">
      <c r="A84" s="214" t="s">
        <v>214</v>
      </c>
      <c r="B84" s="214"/>
      <c r="C84" s="215"/>
      <c r="D84" s="215"/>
      <c r="E84" s="215"/>
      <c r="F84" s="215"/>
      <c r="G84" s="215"/>
      <c r="H84" s="215"/>
      <c r="I84" s="215"/>
      <c r="J84" s="215"/>
      <c r="K84" s="215"/>
      <c r="L84" s="215"/>
      <c r="M84" s="215"/>
      <c r="N84" s="215"/>
      <c r="O84" s="215"/>
      <c r="P84" s="215"/>
      <c r="Q84" s="215"/>
      <c r="R84" s="215"/>
      <c r="S84" s="215"/>
      <c r="T84" s="215"/>
      <c r="U84" s="215"/>
      <c r="V84" s="215"/>
      <c r="W84" s="215"/>
      <c r="X84" s="215"/>
    </row>
    <row r="85" spans="1:24" x14ac:dyDescent="0.2">
      <c r="A85" s="214" t="s">
        <v>215</v>
      </c>
      <c r="B85" s="214"/>
      <c r="C85" s="215"/>
      <c r="D85" s="215"/>
      <c r="E85" s="215"/>
      <c r="F85" s="215"/>
      <c r="G85" s="215"/>
      <c r="H85" s="215"/>
      <c r="I85" s="215"/>
      <c r="J85" s="215"/>
      <c r="K85" s="215"/>
      <c r="L85" s="215"/>
      <c r="M85" s="215"/>
      <c r="N85" s="215"/>
      <c r="O85" s="215"/>
      <c r="P85" s="215"/>
      <c r="Q85" s="215"/>
      <c r="R85" s="215"/>
      <c r="S85" s="215"/>
      <c r="T85" s="215"/>
      <c r="U85" s="215"/>
      <c r="V85" s="215"/>
      <c r="W85" s="215"/>
      <c r="X85" s="215"/>
    </row>
    <row r="86" spans="1:24" ht="12.75" customHeight="1" x14ac:dyDescent="0.2">
      <c r="A86" s="225" t="s">
        <v>216</v>
      </c>
      <c r="B86" s="225"/>
      <c r="C86" s="226"/>
      <c r="D86" s="226"/>
      <c r="E86" s="226"/>
      <c r="F86" s="226"/>
      <c r="G86" s="226"/>
      <c r="H86" s="226"/>
      <c r="I86" s="226"/>
      <c r="J86" s="226"/>
      <c r="K86" s="226"/>
      <c r="L86" s="226"/>
      <c r="M86" s="226"/>
      <c r="N86" s="226"/>
      <c r="O86" s="226"/>
      <c r="P86" s="226"/>
      <c r="Q86" s="226"/>
      <c r="R86" s="226"/>
      <c r="S86" s="226"/>
      <c r="T86" s="226"/>
      <c r="U86" s="226"/>
      <c r="V86" s="226"/>
      <c r="W86" s="226"/>
      <c r="X86" s="226"/>
    </row>
    <row r="87" spans="1:24" x14ac:dyDescent="0.2">
      <c r="A87" s="214" t="s">
        <v>217</v>
      </c>
      <c r="B87" s="214"/>
      <c r="C87" s="215"/>
      <c r="D87" s="215"/>
      <c r="E87" s="215"/>
      <c r="F87" s="215"/>
      <c r="G87" s="215"/>
      <c r="H87" s="215"/>
      <c r="I87" s="215"/>
      <c r="J87" s="215"/>
      <c r="K87" s="215"/>
      <c r="L87" s="215"/>
      <c r="M87" s="215"/>
      <c r="N87" s="215"/>
      <c r="O87" s="215"/>
      <c r="P87" s="215"/>
      <c r="Q87" s="215"/>
      <c r="R87" s="215"/>
      <c r="S87" s="215"/>
      <c r="T87" s="215"/>
      <c r="U87" s="215"/>
      <c r="V87" s="215"/>
      <c r="W87" s="215"/>
      <c r="X87" s="215"/>
    </row>
    <row r="88" spans="1:24" x14ac:dyDescent="0.2">
      <c r="A88" s="214" t="s">
        <v>218</v>
      </c>
      <c r="B88" s="214"/>
      <c r="C88" s="215"/>
      <c r="D88" s="215"/>
      <c r="E88" s="215"/>
      <c r="F88" s="215"/>
      <c r="G88" s="215"/>
      <c r="H88" s="215"/>
      <c r="I88" s="215"/>
      <c r="J88" s="215"/>
      <c r="K88" s="215"/>
      <c r="L88" s="215"/>
      <c r="M88" s="215"/>
      <c r="N88" s="215"/>
      <c r="O88" s="215"/>
      <c r="P88" s="215"/>
      <c r="Q88" s="215"/>
      <c r="R88" s="215"/>
      <c r="S88" s="215"/>
      <c r="T88" s="215"/>
      <c r="U88" s="215"/>
      <c r="V88" s="215"/>
      <c r="W88" s="215"/>
      <c r="X88" s="215"/>
    </row>
    <row r="90" spans="1:24" x14ac:dyDescent="0.2">
      <c r="A90" s="248" t="s">
        <v>219</v>
      </c>
      <c r="B90" s="248"/>
      <c r="C90" s="249"/>
      <c r="D90" s="249"/>
      <c r="E90" s="249"/>
      <c r="F90" s="249"/>
      <c r="G90" s="249"/>
      <c r="H90" s="249"/>
      <c r="I90" s="249"/>
      <c r="J90" s="249"/>
      <c r="K90" s="249"/>
      <c r="L90" s="249"/>
      <c r="M90" s="249"/>
      <c r="N90" s="249"/>
      <c r="O90" s="249"/>
      <c r="P90" s="249"/>
      <c r="Q90" s="249"/>
      <c r="R90" s="249"/>
      <c r="S90" s="249"/>
      <c r="T90" s="249"/>
      <c r="U90" s="249"/>
      <c r="V90" s="249"/>
      <c r="W90" s="249"/>
      <c r="X90" s="249"/>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4" t="s">
        <v>220</v>
      </c>
      <c r="B92" s="214"/>
      <c r="C92" s="215"/>
      <c r="D92" s="215"/>
      <c r="E92" s="215"/>
      <c r="F92" s="215"/>
      <c r="G92" s="215"/>
      <c r="H92" s="215"/>
      <c r="I92" s="215"/>
      <c r="J92" s="215"/>
      <c r="K92" s="215"/>
      <c r="L92" s="215"/>
      <c r="M92" s="215"/>
      <c r="N92" s="215"/>
      <c r="O92" s="215"/>
      <c r="P92" s="215"/>
      <c r="Q92" s="215"/>
      <c r="R92" s="215"/>
      <c r="S92" s="215"/>
      <c r="T92" s="215"/>
      <c r="U92" s="215"/>
      <c r="V92" s="215"/>
      <c r="W92" s="215"/>
      <c r="X92" s="215"/>
    </row>
    <row r="93" spans="1:24" ht="12.75" customHeight="1" x14ac:dyDescent="0.2">
      <c r="A93" s="225" t="s">
        <v>221</v>
      </c>
      <c r="B93" s="225"/>
      <c r="C93" s="226"/>
      <c r="D93" s="226"/>
      <c r="E93" s="226"/>
      <c r="F93" s="226"/>
      <c r="G93" s="226"/>
      <c r="H93" s="226"/>
      <c r="I93" s="226"/>
      <c r="J93" s="226"/>
      <c r="K93" s="226"/>
      <c r="L93" s="226"/>
      <c r="M93" s="226"/>
      <c r="N93" s="226"/>
      <c r="O93" s="226"/>
      <c r="P93" s="226"/>
      <c r="Q93" s="226"/>
      <c r="R93" s="226"/>
      <c r="S93" s="226"/>
      <c r="T93" s="226"/>
      <c r="U93" s="226"/>
      <c r="V93" s="226"/>
      <c r="W93" s="226"/>
      <c r="X93" s="226"/>
    </row>
    <row r="94" spans="1:24" ht="12.75" customHeight="1" x14ac:dyDescent="0.2">
      <c r="A94" s="214" t="s">
        <v>222</v>
      </c>
      <c r="B94" s="214"/>
      <c r="C94" s="215"/>
      <c r="D94" s="215"/>
      <c r="E94" s="215"/>
      <c r="F94" s="215"/>
      <c r="G94" s="215"/>
      <c r="H94" s="215"/>
      <c r="I94" s="215"/>
      <c r="J94" s="215"/>
      <c r="K94" s="215"/>
      <c r="L94" s="215"/>
      <c r="M94" s="215"/>
      <c r="N94" s="215"/>
      <c r="O94" s="215"/>
      <c r="P94" s="215"/>
      <c r="Q94" s="215"/>
      <c r="R94" s="215"/>
      <c r="S94" s="215"/>
      <c r="T94" s="215"/>
      <c r="U94" s="215"/>
      <c r="V94" s="215"/>
      <c r="W94" s="215"/>
      <c r="X94" s="215"/>
    </row>
    <row r="95" spans="1:24" x14ac:dyDescent="0.2">
      <c r="A95" s="214" t="s">
        <v>223</v>
      </c>
      <c r="B95" s="214"/>
      <c r="C95" s="215"/>
      <c r="D95" s="215"/>
      <c r="E95" s="215"/>
      <c r="F95" s="215"/>
      <c r="G95" s="215"/>
      <c r="H95" s="215"/>
      <c r="I95" s="215"/>
      <c r="J95" s="215"/>
      <c r="K95" s="215"/>
      <c r="L95" s="215"/>
      <c r="M95" s="215"/>
      <c r="N95" s="215"/>
      <c r="O95" s="215"/>
      <c r="P95" s="215"/>
      <c r="Q95" s="215"/>
      <c r="R95" s="215"/>
      <c r="S95" s="215"/>
      <c r="T95" s="215"/>
      <c r="U95" s="215"/>
      <c r="V95" s="215"/>
      <c r="W95" s="215"/>
      <c r="X95" s="215"/>
    </row>
    <row r="96" spans="1:24" ht="12.75" customHeight="1" x14ac:dyDescent="0.2">
      <c r="A96" s="225"/>
      <c r="B96" s="225"/>
      <c r="C96" s="226"/>
      <c r="D96" s="226"/>
      <c r="E96" s="226"/>
      <c r="F96" s="226"/>
      <c r="G96" s="226"/>
      <c r="H96" s="226"/>
      <c r="I96" s="226"/>
      <c r="J96" s="226"/>
      <c r="K96" s="226"/>
      <c r="L96" s="226"/>
      <c r="M96" s="226"/>
      <c r="N96" s="226"/>
      <c r="O96" s="226"/>
      <c r="P96" s="226"/>
      <c r="Q96" s="226"/>
      <c r="R96" s="226"/>
      <c r="S96" s="226"/>
      <c r="T96" s="226"/>
      <c r="U96" s="226"/>
      <c r="V96" s="226"/>
      <c r="W96" s="226"/>
      <c r="X96" s="226"/>
    </row>
    <row r="97" spans="1:24" x14ac:dyDescent="0.2">
      <c r="A97" s="248" t="s">
        <v>224</v>
      </c>
      <c r="B97" s="248"/>
      <c r="C97" s="249"/>
      <c r="D97" s="249"/>
      <c r="E97" s="249"/>
      <c r="F97" s="249"/>
      <c r="G97" s="249"/>
      <c r="H97" s="249"/>
      <c r="I97" s="249"/>
      <c r="J97" s="249"/>
      <c r="K97" s="249"/>
      <c r="L97" s="249"/>
      <c r="M97" s="249"/>
      <c r="N97" s="249"/>
      <c r="O97" s="249"/>
      <c r="P97" s="249"/>
      <c r="Q97" s="249"/>
      <c r="R97" s="249"/>
      <c r="S97" s="249"/>
      <c r="T97" s="249"/>
      <c r="U97" s="249"/>
      <c r="V97" s="249"/>
      <c r="W97" s="249"/>
      <c r="X97" s="249"/>
    </row>
    <row r="98" spans="1:24" ht="12.75" customHeight="1" x14ac:dyDescent="0.2">
      <c r="A98" s="225"/>
      <c r="B98" s="225"/>
      <c r="C98" s="226"/>
      <c r="D98" s="226"/>
      <c r="E98" s="226"/>
      <c r="F98" s="226"/>
      <c r="G98" s="226"/>
      <c r="H98" s="226"/>
      <c r="I98" s="226"/>
      <c r="J98" s="226"/>
      <c r="K98" s="226"/>
      <c r="L98" s="226"/>
      <c r="M98" s="226"/>
      <c r="N98" s="226"/>
      <c r="O98" s="226"/>
      <c r="P98" s="226"/>
      <c r="Q98" s="226"/>
      <c r="R98" s="226"/>
      <c r="S98" s="226"/>
      <c r="T98" s="226"/>
      <c r="U98" s="226"/>
      <c r="V98" s="226"/>
      <c r="W98" s="226"/>
      <c r="X98" s="226"/>
    </row>
    <row r="99" spans="1:24" ht="12.75" customHeight="1" x14ac:dyDescent="0.2">
      <c r="A99" s="214" t="s">
        <v>225</v>
      </c>
      <c r="B99" s="214"/>
      <c r="C99" s="215"/>
      <c r="D99" s="215"/>
      <c r="E99" s="215"/>
      <c r="F99" s="215"/>
      <c r="G99" s="215"/>
      <c r="H99" s="215"/>
      <c r="I99" s="215"/>
      <c r="J99" s="215"/>
      <c r="K99" s="215"/>
      <c r="L99" s="215"/>
      <c r="M99" s="215"/>
      <c r="N99" s="215"/>
      <c r="O99" s="215"/>
      <c r="P99" s="215"/>
      <c r="Q99" s="215"/>
      <c r="R99" s="215"/>
      <c r="S99" s="215"/>
      <c r="T99" s="215"/>
      <c r="U99" s="215"/>
      <c r="V99" s="215"/>
      <c r="W99" s="215"/>
      <c r="X99" s="215"/>
    </row>
    <row r="100" spans="1:24" ht="12.75" customHeight="1" x14ac:dyDescent="0.2">
      <c r="A100" s="214" t="s">
        <v>226</v>
      </c>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row>
    <row r="101" spans="1:24" x14ac:dyDescent="0.2">
      <c r="A101" s="214" t="s">
        <v>227</v>
      </c>
      <c r="B101" s="214"/>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0.21390000000000001</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
      </c>
      <c r="B221" s="202"/>
      <c r="C221" s="200" t="str">
        <f>IF(C29="","",C29)</f>
        <v/>
      </c>
      <c r="D221" s="201"/>
      <c r="E221" s="202"/>
      <c r="F221" s="200" t="str">
        <f>IF(F29="","",F29)</f>
        <v/>
      </c>
      <c r="G221" s="201"/>
      <c r="H221" s="201"/>
      <c r="I221" s="202"/>
      <c r="J221" s="200" t="str">
        <f>IF(J29="","",J29)</f>
        <v/>
      </c>
      <c r="K221" s="201"/>
      <c r="L221" s="201" t="e">
        <f>IF(#REF!="","",#REF!)</f>
        <v>#REF!</v>
      </c>
      <c r="M221" s="201"/>
      <c r="N221" s="201" t="e">
        <f>IF(#REF!="","",#REF!)</f>
        <v>#REF!</v>
      </c>
      <c r="O221" s="202"/>
      <c r="P221" s="200" t="str">
        <f>IF(P29="","",P29)</f>
        <v>REFORMA DE COBERTURAS, FORROS E ELÉTRICA - EMEF PRINCESA ISABEL</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4" t="str">
        <f>IF(A32="","",A32)</f>
        <v>MUNICÍPIO DE BENTO GONÇALVES</v>
      </c>
      <c r="B224" s="235"/>
      <c r="C224" s="235"/>
      <c r="D224" s="235"/>
      <c r="E224" s="235"/>
      <c r="F224" s="235"/>
      <c r="G224" s="200" t="str">
        <f>IF(G32="","",G32)</f>
        <v>BENTO GONÇALVES/RS</v>
      </c>
      <c r="H224" s="201" t="str">
        <f>IF(I32="","",I32)</f>
        <v/>
      </c>
      <c r="I224" s="201"/>
      <c r="J224" s="202" t="e">
        <f>IF(#REF!="","",#REF!)</f>
        <v>#REF!</v>
      </c>
      <c r="K224" s="200" t="str">
        <f>IF(K32="","",K32)</f>
        <v>RUA CARLOS DREHER NETO, 543, BAIRRO VILA NOVA</v>
      </c>
      <c r="L224" s="201"/>
      <c r="M224" s="201"/>
      <c r="N224" s="201"/>
      <c r="O224" s="201"/>
      <c r="P224" s="202"/>
      <c r="Q224" s="200" t="str">
        <f>IF(Q32="","",Q32)</f>
        <v>REFORMA DE COBERTURAS, FORROS E ELÉTRICA - EMEF PRINCESA ISABEL</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0">
        <f>IF(A38="","",A38)</f>
        <v>45757</v>
      </c>
      <c r="B227" s="241"/>
      <c r="C227" s="115" t="str">
        <f t="shared" ref="C227:X227" si="0">IF(C38="","",C38)</f>
        <v>Não</v>
      </c>
      <c r="D227" s="227" t="str">
        <f t="shared" si="0"/>
        <v>Porto Alegre / RS</v>
      </c>
      <c r="E227" s="231" t="str">
        <f t="shared" si="0"/>
        <v/>
      </c>
      <c r="F227" s="228" t="str">
        <f t="shared" si="0"/>
        <v/>
      </c>
      <c r="G227" s="227" t="str">
        <f t="shared" si="0"/>
        <v>REFORMA DE COBERTURAS, FORROS E ELÉTRICA - EMEF PRINCESA ISABEL</v>
      </c>
      <c r="H227" s="231" t="str">
        <f t="shared" si="0"/>
        <v/>
      </c>
      <c r="I227" s="231" t="str">
        <f t="shared" si="0"/>
        <v/>
      </c>
      <c r="J227" s="231" t="str">
        <f t="shared" si="0"/>
        <v/>
      </c>
      <c r="K227" s="231" t="str">
        <f t="shared" si="0"/>
        <v/>
      </c>
      <c r="L227" s="231" t="str">
        <f t="shared" si="0"/>
        <v/>
      </c>
      <c r="M227" s="231" t="str">
        <f t="shared" si="0"/>
        <v/>
      </c>
      <c r="N227" s="231" t="str">
        <f t="shared" si="0"/>
        <v/>
      </c>
      <c r="O227" s="231" t="str">
        <f t="shared" si="0"/>
        <v/>
      </c>
      <c r="P227" s="231" t="str">
        <f t="shared" si="0"/>
        <v/>
      </c>
      <c r="Q227" s="231" t="str">
        <f t="shared" si="0"/>
        <v/>
      </c>
      <c r="R227" s="231" t="str">
        <f t="shared" si="0"/>
        <v/>
      </c>
      <c r="S227" s="228" t="str">
        <f t="shared" si="0"/>
        <v/>
      </c>
      <c r="T227" s="117">
        <f t="shared" ca="1" si="0"/>
        <v>0.21390000000000001</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6" t="s">
        <v>89</v>
      </c>
      <c r="V229" s="237"/>
      <c r="W229" s="236" t="s">
        <v>90</v>
      </c>
      <c r="X229" s="237"/>
    </row>
    <row r="230" spans="1:24" ht="12.75" customHeight="1" x14ac:dyDescent="0.2">
      <c r="A230" s="227" t="str">
        <f>IF(A43="","",A43)</f>
        <v/>
      </c>
      <c r="B230" s="228"/>
      <c r="C230" s="227" t="str">
        <f>IF(C43="","",C43)</f>
        <v/>
      </c>
      <c r="D230" s="231"/>
      <c r="E230" s="231" t="str">
        <f>IF(E43="","",E43)</f>
        <v/>
      </c>
      <c r="F230" s="231"/>
      <c r="G230" s="231" t="str">
        <f>IF(G43="","",G43)</f>
        <v/>
      </c>
      <c r="H230" s="232" t="str">
        <f>IF(H43="","",H43)</f>
        <v/>
      </c>
      <c r="I230" s="233" t="str">
        <f>IF(I43="","",I43)</f>
        <v/>
      </c>
      <c r="J230" s="116" t="str">
        <f>IF(J43="","",J43)</f>
        <v/>
      </c>
      <c r="K230" s="219" t="str">
        <f>IF(K43="","",K43)</f>
        <v/>
      </c>
      <c r="L230" s="221"/>
      <c r="M230" s="222" t="str">
        <f>IF(M43="","",M43)</f>
        <v/>
      </c>
      <c r="N230" s="118" t="str">
        <f>IF(N43="","",N43)</f>
        <v/>
      </c>
      <c r="O230" s="219" t="str">
        <f>IF(O43="","",O43)</f>
        <v/>
      </c>
      <c r="P230" s="220"/>
      <c r="Q230" s="220" t="str">
        <f>IF(Q43="","",Q43)</f>
        <v/>
      </c>
      <c r="R230" s="221"/>
      <c r="S230" s="221" t="str">
        <f>IF(S43="","",S43)</f>
        <v/>
      </c>
      <c r="T230" s="222"/>
      <c r="U230" s="229" t="str">
        <f>IF(U43="","",U43)</f>
        <v/>
      </c>
      <c r="V230" s="230"/>
      <c r="W230" s="223" t="str">
        <f>IF(W43="","",W43)</f>
        <v/>
      </c>
      <c r="X230" s="22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422" priority="42" stopIfTrue="1">
      <formula>$B54&lt;&gt;""</formula>
    </cfRule>
  </conditionalFormatting>
  <conditionalFormatting sqref="A48 H54:K54 H55:H56 H57:K57 A29:C29 J29 F29 A32 P29 G32 K32">
    <cfRule type="expression" dxfId="421" priority="48" stopIfTrue="1">
      <formula>A29&lt;&gt;""</formula>
    </cfRule>
  </conditionalFormatting>
  <conditionalFormatting sqref="G53:K54 G55:H56 G57:K57">
    <cfRule type="expression" dxfId="420" priority="43" stopIfTrue="1">
      <formula>$K$52&lt;&gt;"SIM"</formula>
    </cfRule>
  </conditionalFormatting>
  <conditionalFormatting sqref="A40:X43">
    <cfRule type="expression" dxfId="419" priority="56" stopIfTrue="1">
      <formula>OR(TipoOrçamento="BASE",TipoOrçamento="REPROGRAMADONPL")</formula>
    </cfRule>
    <cfRule type="expression" dxfId="418" priority="57" stopIfTrue="1">
      <formula>A40&lt;&gt;""</formula>
    </cfRule>
  </conditionalFormatting>
  <conditionalFormatting sqref="A35:X38">
    <cfRule type="expression" dxfId="417" priority="58" stopIfTrue="1">
      <formula>OR(TipoOrçamento="LICITADO",TipoOrçamento="REPROGRAMADOAC")</formula>
    </cfRule>
    <cfRule type="expression" dxfId="416" priority="59" stopIfTrue="1">
      <formula>A35&lt;&gt;""</formula>
    </cfRule>
  </conditionalFormatting>
  <conditionalFormatting sqref="Q32">
    <cfRule type="expression" dxfId="415"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7" zoomScale="70" zoomScaleNormal="70" zoomScaleSheetLayoutView="100" zoomScalePageLayoutView="70" workbookViewId="0">
      <selection activeCell="T37" sqref="T37"/>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8">
        <f>DADOS!A29</f>
        <v>0</v>
      </c>
      <c r="J5" s="289"/>
      <c r="K5" s="290" t="str">
        <f>DADOS!A32</f>
        <v>MUNICÍPIO DE BENTO GONÇALVES</v>
      </c>
      <c r="L5" s="291"/>
      <c r="M5" s="291"/>
      <c r="N5" s="291"/>
      <c r="O5" s="291"/>
      <c r="P5" s="291"/>
      <c r="Q5" s="291"/>
      <c r="R5" s="289"/>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2" t="str">
        <f>DADOS!P29</f>
        <v>REFORMA DE COBERTURAS, FORROS E ELÉTRICA - EMEF PRINCESA ISABEL</v>
      </c>
      <c r="J8" s="292"/>
      <c r="K8" s="292"/>
      <c r="L8" s="292"/>
      <c r="M8" s="292"/>
      <c r="N8" s="292"/>
      <c r="O8" s="292"/>
      <c r="P8" s="292"/>
      <c r="Q8" s="292"/>
      <c r="R8" s="292"/>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3" t="s">
        <v>28</v>
      </c>
      <c r="J11" s="284"/>
      <c r="K11" s="284"/>
      <c r="L11" s="284"/>
      <c r="M11" s="284"/>
      <c r="N11" s="284"/>
      <c r="O11" s="284"/>
      <c r="P11" s="285"/>
      <c r="Q11" s="286" t="str">
        <f>DADOS!$C$38</f>
        <v>Não</v>
      </c>
      <c r="R11" s="287"/>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1" t="s">
        <v>36</v>
      </c>
      <c r="J13" s="281"/>
      <c r="K13" s="281"/>
      <c r="L13" s="281"/>
      <c r="M13" s="281"/>
      <c r="N13" s="281"/>
      <c r="O13" s="281"/>
      <c r="P13" s="281"/>
      <c r="Q13" s="278">
        <v>0.45</v>
      </c>
      <c r="R13" s="278"/>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79" t="s">
        <v>38</v>
      </c>
      <c r="J14" s="279"/>
      <c r="K14" s="279"/>
      <c r="L14" s="279"/>
      <c r="M14" s="279"/>
      <c r="N14" s="279"/>
      <c r="O14" s="279"/>
      <c r="P14" s="279"/>
      <c r="Q14" s="278">
        <v>0.03</v>
      </c>
      <c r="R14" s="278"/>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0" t="s">
        <v>39</v>
      </c>
      <c r="J16" s="280"/>
      <c r="K16" s="280"/>
      <c r="L16" s="280"/>
      <c r="M16" s="280" t="s">
        <v>40</v>
      </c>
      <c r="N16" s="282" t="s">
        <v>41</v>
      </c>
      <c r="O16" s="282" t="s">
        <v>42</v>
      </c>
      <c r="P16" s="280" t="s">
        <v>43</v>
      </c>
      <c r="Q16" s="280" t="s">
        <v>44</v>
      </c>
      <c r="R16" s="297" t="s">
        <v>45</v>
      </c>
      <c r="T16" s="293" t="str">
        <f>IF(V27,"Para BDI fora do intervalo estatístico, deve ser apresentado Relatório Técnico Circunstanciado justificando a adoção do percentual de cada parcela do BDI.","")</f>
        <v/>
      </c>
      <c r="U16" s="293"/>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0"/>
      <c r="J17" s="280"/>
      <c r="K17" s="280"/>
      <c r="L17" s="280"/>
      <c r="M17" s="280"/>
      <c r="N17" s="282"/>
      <c r="O17" s="282"/>
      <c r="P17" s="280"/>
      <c r="Q17" s="280"/>
      <c r="R17" s="297"/>
      <c r="T17" s="293"/>
      <c r="U17" s="293"/>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5" t="str">
        <f>IF($I$11=$A$59,"Encargos Sociais incidentes sobre a mão de obra","Administração Central")</f>
        <v>Administração Central</v>
      </c>
      <c r="J18" s="295"/>
      <c r="K18" s="295"/>
      <c r="L18" s="295"/>
      <c r="M18" s="50" t="str">
        <f>IF($I$11=$A$59,"K1","AC")</f>
        <v>AC</v>
      </c>
      <c r="N18" s="51">
        <v>0.04</v>
      </c>
      <c r="O18" s="52" t="s">
        <v>46</v>
      </c>
      <c r="P18" s="53">
        <f>VLOOKUP(CONCATENATE(I$11,"-",M18),$C$2:$G$49,3,FALSE)</f>
        <v>0.03</v>
      </c>
      <c r="Q18" s="53">
        <f>VLOOKUP(CONCATENATE(I$11,"-",M18),$C$2:$G$49,4,FALSE)</f>
        <v>0.04</v>
      </c>
      <c r="R18" s="53">
        <f>VLOOKUP(CONCATENATE(I$11,"-",M18),$C$2:$G$49,5,FALSE)</f>
        <v>5.5E-2</v>
      </c>
      <c r="T18" s="293"/>
      <c r="U18" s="293"/>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5" t="str">
        <f>IF($I$11=$A$59,"Administração Central da empresa ou consultoria - overhead","Seguro e Garantia")</f>
        <v>Seguro e Garantia</v>
      </c>
      <c r="J19" s="295"/>
      <c r="K19" s="295"/>
      <c r="L19" s="295"/>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3"/>
      <c r="U19" s="293"/>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5" t="str">
        <f>IF($I$11=$A$59,"","Risco")</f>
        <v>Risco</v>
      </c>
      <c r="J20" s="295"/>
      <c r="K20" s="295"/>
      <c r="L20" s="295"/>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3"/>
      <c r="U20" s="293"/>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5" t="str">
        <f>IF($I$11=$A$59,"","Despesas Financeiras")</f>
        <v>Despesas Financeiras</v>
      </c>
      <c r="J21" s="295"/>
      <c r="K21" s="295"/>
      <c r="L21" s="295"/>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293"/>
      <c r="U21" s="293"/>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5" t="str">
        <f>IF($I$11=$A$59,"Margem bruta da empresa de consultoria","Lucro")</f>
        <v>Lucro</v>
      </c>
      <c r="J22" s="295"/>
      <c r="K22" s="295"/>
      <c r="L22" s="295"/>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3"/>
      <c r="U22" s="293"/>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6" t="s">
        <v>48</v>
      </c>
      <c r="J23" s="296"/>
      <c r="K23" s="296"/>
      <c r="L23" s="296"/>
      <c r="M23" s="50" t="s">
        <v>49</v>
      </c>
      <c r="N23" s="51">
        <v>3.6499999999999998E-2</v>
      </c>
      <c r="O23" s="52" t="s">
        <v>46</v>
      </c>
      <c r="P23" s="53">
        <v>3.6499999999999998E-2</v>
      </c>
      <c r="Q23" s="53">
        <v>3.6499999999999998E-2</v>
      </c>
      <c r="R23" s="53">
        <v>3.6499999999999998E-2</v>
      </c>
      <c r="T23" s="293"/>
      <c r="U23" s="293"/>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5" t="s">
        <v>50</v>
      </c>
      <c r="J24" s="295"/>
      <c r="K24" s="295"/>
      <c r="L24" s="295"/>
      <c r="M24" s="50" t="s">
        <v>51</v>
      </c>
      <c r="N24" s="53">
        <f>IF($I$11&lt;&gt;$A$58,Q14*Q13,0)</f>
        <v>1.35E-2</v>
      </c>
      <c r="O24" s="52" t="s">
        <v>46</v>
      </c>
      <c r="P24" s="53">
        <v>0</v>
      </c>
      <c r="Q24" s="53">
        <v>2.5000000000000001E-2</v>
      </c>
      <c r="R24" s="53">
        <v>0.05</v>
      </c>
      <c r="T24" s="293"/>
      <c r="U24" s="293"/>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5" t="s">
        <v>116</v>
      </c>
      <c r="J25" s="295"/>
      <c r="K25" s="295"/>
      <c r="L25" s="295"/>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5" t="s">
        <v>53</v>
      </c>
      <c r="J26" s="295"/>
      <c r="K26" s="295"/>
      <c r="L26" s="295"/>
      <c r="M26" s="55" t="s">
        <v>33</v>
      </c>
      <c r="N26" s="53">
        <f>IF($I$11=$A$58,0,ROUND((((1+N18+N19+N20)*(1+N21)*(1+N22)/(1-(N23+N24)))-1),4))</f>
        <v>0.21390000000000001</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6" t="s">
        <v>55</v>
      </c>
      <c r="J27" s="306"/>
      <c r="K27" s="306"/>
      <c r="L27" s="306"/>
      <c r="M27" s="56" t="s">
        <v>56</v>
      </c>
      <c r="N27" s="57">
        <f>IF($I$11=$A$58,0,ROUND((((1+N18+N19+N20)*(1+N21)*(1+N22)/(1-(N23+N24+N25)))-1),4))</f>
        <v>0.21390000000000001</v>
      </c>
      <c r="O27" s="95" t="str">
        <f>IF(Q11&lt;&gt;"Sim","",O26)</f>
        <v/>
      </c>
      <c r="P27" s="307"/>
      <c r="Q27" s="307"/>
      <c r="R27" s="307"/>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5" t="s">
        <v>117</v>
      </c>
      <c r="K29" s="305"/>
      <c r="L29" s="305"/>
      <c r="M29" s="305"/>
      <c r="N29" s="305"/>
      <c r="O29" s="305"/>
      <c r="P29" s="305"/>
      <c r="Q29" s="305"/>
      <c r="R29" s="305"/>
      <c r="V29" s="96" t="b">
        <v>0</v>
      </c>
      <c r="W29" s="42" t="s">
        <v>119</v>
      </c>
    </row>
    <row r="30" spans="1:31" ht="7.5" customHeight="1" x14ac:dyDescent="0.2">
      <c r="B30" s="44"/>
      <c r="E30" s="45"/>
      <c r="F30" s="45"/>
      <c r="G30" s="45"/>
      <c r="V30" s="96"/>
    </row>
    <row r="31" spans="1:31" ht="18.75" customHeight="1" x14ac:dyDescent="0.2">
      <c r="B31" s="44"/>
      <c r="E31" s="45"/>
      <c r="F31" s="45"/>
      <c r="G31" s="45"/>
      <c r="I31" s="308" t="s">
        <v>61</v>
      </c>
      <c r="J31" s="308"/>
      <c r="K31" s="308"/>
      <c r="L31" s="308"/>
      <c r="M31" s="308"/>
      <c r="N31" s="308"/>
      <c r="O31" s="308"/>
      <c r="P31" s="308"/>
      <c r="Q31" s="308"/>
      <c r="R31" s="308"/>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3" t="str">
        <f>IF(Q11="Sim","BDI.DES =","BDI.PAD =")</f>
        <v>BDI.PAD =</v>
      </c>
      <c r="M32" s="301" t="str">
        <f>IF($I$11=$A$59,"(1+K1+K2)*(1+K3)","(1+AC + S + R + G)*(1 + DF)*(1+L)")</f>
        <v>(1+AC + S + R + G)*(1 + DF)*(1+L)</v>
      </c>
      <c r="N32" s="301"/>
      <c r="O32" s="301"/>
      <c r="P32" s="299"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3"/>
      <c r="M33" s="302" t="str">
        <f>IF(Q11="Sim","(1-CP-ISS-CRPB)","(1-CP-ISS)")</f>
        <v>(1-CP-ISS)</v>
      </c>
      <c r="N33" s="302"/>
      <c r="O33" s="302"/>
      <c r="P33" s="300"/>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8"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298"/>
      <c r="K35" s="298"/>
      <c r="L35" s="298"/>
      <c r="M35" s="298"/>
      <c r="N35" s="298"/>
      <c r="O35" s="298"/>
      <c r="P35" s="298"/>
      <c r="Q35" s="298"/>
      <c r="R35" s="298"/>
    </row>
    <row r="36" spans="1:18" ht="11.25" customHeight="1" x14ac:dyDescent="0.2">
      <c r="B36" s="49"/>
      <c r="E36" s="45"/>
      <c r="F36" s="45"/>
      <c r="G36" s="45"/>
    </row>
    <row r="37" spans="1:18" ht="52.5" customHeight="1" x14ac:dyDescent="0.2">
      <c r="B37" s="49"/>
      <c r="E37" s="45"/>
      <c r="F37" s="45"/>
      <c r="G37" s="45"/>
      <c r="I37" s="298"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8"/>
      <c r="K37" s="298"/>
      <c r="L37" s="298"/>
      <c r="M37" s="298"/>
      <c r="N37" s="298"/>
      <c r="O37" s="298"/>
      <c r="P37" s="298"/>
      <c r="Q37" s="298"/>
      <c r="R37" s="298"/>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0" t="s">
        <v>232</v>
      </c>
      <c r="J40" s="311"/>
      <c r="K40" s="311"/>
      <c r="L40" s="311"/>
      <c r="M40" s="311"/>
      <c r="N40" s="311"/>
      <c r="O40" s="311"/>
      <c r="P40" s="311"/>
      <c r="Q40" s="311"/>
      <c r="R40" s="312"/>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4" t="str">
        <f>PO!K253</f>
        <v>BENTO GONÇALVES/RS</v>
      </c>
      <c r="J42" s="294"/>
      <c r="K42" s="294"/>
      <c r="L42" s="294"/>
      <c r="O42" s="309">
        <f ca="1">PO!K256</f>
        <v>45810</v>
      </c>
      <c r="P42" s="309"/>
      <c r="Q42" s="309"/>
      <c r="R42" s="309"/>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7" t="s">
        <v>120</v>
      </c>
      <c r="J43" s="277"/>
      <c r="K43" s="277"/>
      <c r="L43" s="277"/>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6"/>
      <c r="J45" s="276"/>
      <c r="K45" s="276"/>
      <c r="L45" s="276"/>
      <c r="M45" s="59"/>
      <c r="N45" s="59"/>
      <c r="O45" s="276"/>
      <c r="P45" s="276"/>
      <c r="Q45" s="276"/>
      <c r="R45" s="276"/>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3" t="s">
        <v>57</v>
      </c>
      <c r="J46" s="313"/>
      <c r="K46" s="313"/>
      <c r="L46" s="313"/>
      <c r="O46" s="313" t="s">
        <v>58</v>
      </c>
      <c r="P46" s="313"/>
      <c r="Q46" s="313"/>
      <c r="R46" s="313"/>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4">
        <f>DADOS!B54</f>
        <v>0</v>
      </c>
      <c r="K47" s="304"/>
      <c r="L47" s="304"/>
      <c r="M47" s="59"/>
      <c r="N47" s="59"/>
      <c r="O47" s="21" t="s">
        <v>140</v>
      </c>
      <c r="P47" s="275"/>
      <c r="Q47" s="275"/>
      <c r="R47" s="275"/>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4">
        <f>DADOS!B55</f>
        <v>0</v>
      </c>
      <c r="K48" s="304"/>
      <c r="L48" s="304"/>
      <c r="M48" s="59"/>
      <c r="N48" s="59"/>
      <c r="O48" s="21" t="s">
        <v>60</v>
      </c>
      <c r="P48" s="275"/>
      <c r="Q48" s="275"/>
      <c r="R48" s="275"/>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4">
        <f>DADOS!B56</f>
        <v>0</v>
      </c>
      <c r="K49" s="304"/>
      <c r="L49" s="304"/>
      <c r="M49" s="59"/>
      <c r="N49" s="59"/>
      <c r="O49" s="59"/>
      <c r="P49" s="59"/>
      <c r="Q49" s="59"/>
      <c r="R49" s="59"/>
    </row>
    <row r="50" spans="1:18" x14ac:dyDescent="0.2">
      <c r="I50" s="21" t="str">
        <f>DADOS!A57</f>
        <v>CNPJ:</v>
      </c>
      <c r="J50" s="304">
        <f>DADOS!B57</f>
        <v>0</v>
      </c>
      <c r="K50" s="304"/>
      <c r="L50" s="304"/>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414" priority="6" stopIfTrue="1">
      <formula>$O$42=""</formula>
    </cfRule>
  </conditionalFormatting>
  <conditionalFormatting sqref="O18:O27">
    <cfRule type="expression" dxfId="413" priority="11" stopIfTrue="1">
      <formula>AND(O18&lt;&gt;"OK",O18&lt;&gt;"-",O18&lt;&gt;"")</formula>
    </cfRule>
    <cfRule type="cellIs" dxfId="412" priority="12" stopIfTrue="1" operator="equal">
      <formula>"OK"</formula>
    </cfRule>
  </conditionalFormatting>
  <conditionalFormatting sqref="I26:N26">
    <cfRule type="expression" dxfId="411" priority="10" stopIfTrue="1">
      <formula>$Q$11="Não"</formula>
    </cfRule>
  </conditionalFormatting>
  <conditionalFormatting sqref="I27:N27">
    <cfRule type="expression" dxfId="410" priority="9" stopIfTrue="1">
      <formula>$Q$11="sim"</formula>
    </cfRule>
  </conditionalFormatting>
  <conditionalFormatting sqref="P27:R27">
    <cfRule type="expression" dxfId="409" priority="8" stopIfTrue="1">
      <formula>$Q$11="sim"</formula>
    </cfRule>
  </conditionalFormatting>
  <conditionalFormatting sqref="P47:R48">
    <cfRule type="expression" dxfId="408" priority="7" stopIfTrue="1">
      <formula>P47=""</formula>
    </cfRule>
  </conditionalFormatting>
  <conditionalFormatting sqref="I29:R29">
    <cfRule type="expression" dxfId="407" priority="3" stopIfTrue="1">
      <formula>AND(NOT($V$27),NOT($V$29))</formula>
    </cfRule>
  </conditionalFormatting>
  <conditionalFormatting sqref="P18:R26">
    <cfRule type="expression" dxfId="406"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257"/>
  <sheetViews>
    <sheetView showGridLines="0" tabSelected="1" topLeftCell="J1" zoomScale="70" zoomScaleNormal="70" zoomScaleSheetLayoutView="80" workbookViewId="0">
      <pane ySplit="12" topLeftCell="A13" activePane="bottomLeft" state="frozen"/>
      <selection pane="bottomLeft" activeCell="N18" sqref="N1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4" t="s">
        <v>181</v>
      </c>
      <c r="X2" s="314"/>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MAX($A$12:$A$242)</f>
        <v>4</v>
      </c>
      <c r="B5" s="1"/>
      <c r="F5" s="2"/>
      <c r="G5" s="1"/>
      <c r="H5" s="1"/>
      <c r="I5" s="1"/>
      <c r="J5" s="1"/>
      <c r="K5" s="1"/>
      <c r="L5" s="1"/>
      <c r="M5" s="1"/>
      <c r="N5" s="1"/>
      <c r="O5" s="1"/>
      <c r="P5" s="1"/>
      <c r="Q5" s="1"/>
      <c r="R5" s="1"/>
      <c r="S5" s="1"/>
      <c r="T5" s="1"/>
      <c r="U5" s="101" t="str">
        <f ca="1">IF(COUNTIF($U$12:OFFSET($U$242,-1,0),"DESCRIÇÃO")+COUNTIF($U$12:OFFSET($U$242,-1,0),"UNIDADE")+COUNTIF($U$12:OFFSET($U$242,-1,0),"SEM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IF(OR($A11="S",$A11=0),0,MATCH(0,OFFSET($B11,1,$A11,ROW($A$242)-ROW($A11)),0))</f>
        <v>0</v>
      </c>
      <c r="I11">
        <f ca="1">IF(OR($A11="S",$A11=0),0,MATCH(OFFSET($B11,0,$A11)+1,OFFSET($B11,1,$A11,ROW($A$242)-ROW($A11)),0))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0.21390000000000001</v>
      </c>
      <c r="AA11" s="1"/>
    </row>
    <row r="12" spans="1:27" x14ac:dyDescent="0.2">
      <c r="A12">
        <v>0</v>
      </c>
      <c r="B12">
        <f ca="1">COUNTA(OFFSET(B12,1,0):B$242)</f>
        <v>229</v>
      </c>
      <c r="J12" s="64" t="str">
        <f>IF(OR(TipoOrçamento="LICITADO",TipoOrçamento="REPROGRAMADOAC"),"CTEF","LOTE")</f>
        <v>CTEF</v>
      </c>
      <c r="K12" s="139">
        <v>0</v>
      </c>
      <c r="L12" s="6"/>
      <c r="M12" s="6"/>
      <c r="N12" s="73">
        <f>IF(TipoOrçamento="LICITADO",DADOS!O43,DADOS!G38)</f>
        <v>0</v>
      </c>
      <c r="O12" s="6"/>
      <c r="P12" s="7"/>
      <c r="Q12" s="7"/>
      <c r="R12" s="8"/>
      <c r="S12" s="7"/>
      <c r="T12" s="82">
        <f ca="1">SUMIF(OFFSET($J12,1,0,ROW(T242)-ROW(T12)-1),"Serviço",OFFSET(T12,1,0,ROW(T242)-ROW(T12)-1))</f>
        <v>0</v>
      </c>
      <c r="U12" s="9" t="str">
        <f>IF($N12=0,"DESCRIÇÃO","")</f>
        <v>DESCRIÇÃO</v>
      </c>
      <c r="V12" s="1">
        <v>0</v>
      </c>
      <c r="W12" s="1"/>
      <c r="X12" s="1"/>
      <c r="Y12" s="7"/>
      <c r="Z12" s="114"/>
      <c r="AA12" s="1"/>
    </row>
    <row r="13" spans="1:27" x14ac:dyDescent="0.2">
      <c r="A13">
        <f t="shared" ref="A13:A24" si="0">CHOOSE(1+LOG(1+2*(J13="Meta")+4*(J13="Nível 2")+8*(J13="Nível 3")+16*(J13="Nível 4")+32*(J13="Serviço"),2),0,1,2,3,4,"S")</f>
        <v>1</v>
      </c>
      <c r="B13">
        <f t="shared" ref="B13:B24" ca="1" si="1">IF(OR(A13="S",A13=0),0,IF(ISERROR(I13),H13,SMALL(H13:I13,1)))</f>
        <v>229</v>
      </c>
      <c r="C13">
        <f t="shared" ref="C13:C24" ca="1" si="2">IF($A13=1,OFFSET(C13,-1,0)+1,OFFSET(C13,-1,0))</f>
        <v>1</v>
      </c>
      <c r="D13">
        <f t="shared" ref="D13:D24" ca="1" si="3">IF($A13=1,0,IF($A13=2,OFFSET(D13,-1,0)+1,OFFSET(D13,-1,0)))</f>
        <v>0</v>
      </c>
      <c r="E13">
        <f t="shared" ref="E13:E24" ca="1" si="4">IF(AND($A13&lt;=2,$A13&lt;&gt;0),0,IF($A13=3,OFFSET(E13,-1,0)+1,OFFSET(E13,-1,0)))</f>
        <v>0</v>
      </c>
      <c r="F13">
        <f t="shared" ref="F13:F24" ca="1" si="5">IF(AND($A13&lt;=3,$A13&lt;&gt;0),0,IF($A13=4,OFFSET(F13,-1,0)+1,OFFSET(F13,-1,0)))</f>
        <v>0</v>
      </c>
      <c r="G13">
        <f t="shared" ref="G13:G24" ca="1" si="6">IF(AND($A13&lt;=4,$A13&lt;&gt;0),0,IF($A13="S",OFFSET(G13,-1,0)+1,OFFSET(G13,-1,0)))</f>
        <v>0</v>
      </c>
      <c r="H13">
        <f ca="1">IF(OR($A13="S",$A13=0),0,MATCH(0,OFFSET($B13,1,$A13,ROW($A$242)-ROW($A13)),0))</f>
        <v>229</v>
      </c>
      <c r="I13" t="e">
        <f ca="1">IF(OR($A13="S",$A13=0),0,MATCH(OFFSET($B13,0,$A13)+1,OFFSET($B13,1,$A13,ROW($A$242)-ROW($A13)),0))</f>
        <v>#N/A</v>
      </c>
      <c r="J13" s="352" t="s">
        <v>99</v>
      </c>
      <c r="K13" s="138" t="str">
        <f t="shared" ref="K13:K24" ca="1" si="7">IF($A13=0,"-",CONCATENATE(C13&amp;".",IF(AND($A$5&gt;=2,$A13&gt;=2),D13&amp;".",""),IF(AND($A$5&gt;=3,$A13&gt;=3),E13&amp;".",""),IF(AND($A$5&gt;=4,$A13&gt;=4),F13&amp;".",""),IF($A13="S",G13&amp;".","")))</f>
        <v>1.</v>
      </c>
      <c r="L13" s="355"/>
      <c r="M13" s="355"/>
      <c r="N13" s="357" t="s">
        <v>434</v>
      </c>
      <c r="O13" s="358"/>
      <c r="P13" s="359">
        <v>0</v>
      </c>
      <c r="Q13" s="195"/>
      <c r="R13" s="198" t="s">
        <v>7</v>
      </c>
      <c r="S13" s="103">
        <f>IF($A13="S",IF($Q$10="Preço Unitário (R$)",PO.CustoUnitario,ROUND(PO.CustoUnitario*(1+$Z13),15-13*$X$6)),0)</f>
        <v>0</v>
      </c>
      <c r="T13" s="83">
        <f ca="1">IF($A13="S",VTOTAL1,IF($A13=0,0,ROUND(SomaAgrup,15-13*$X$7)))</f>
        <v>0</v>
      </c>
      <c r="U13" s="9" t="str">
        <f t="shared" ref="U13:U24" ca="1" si="8">IF($J13="","",IF($N13="","DESCRIÇÃO",IF(AND($J13="Serviço",$O13=""),"UNIDADE",IF($T13&lt;=0,"SEM VALOR",IF(AND($Y13&lt;&gt;"",$Q13&gt;$Y13),"ACIMA REF.","")))))</f>
        <v>SEM VALOR</v>
      </c>
      <c r="V13" s="1">
        <f ca="1">IF(OR($A13=0,$A13="S",$A13&gt;CFF!$A$9),"",MAX(V$12:OFFSET(V13,-1,0))+1)</f>
        <v>1</v>
      </c>
      <c r="W13" s="4" t="b">
        <f t="shared" ref="W13:W24" si="9">IF(AND($J13="Serviço",$M13&lt;&gt;""),IF($L13="",$M13,CONCATENATE($L13,"-",$M13)))</f>
        <v>0</v>
      </c>
      <c r="X13" s="1" t="str">
        <f t="shared" ref="X13:X23" ca="1" si="10">IF(AND(Fonte&lt;&gt;"",Código&lt;&gt;""),MATCH(Fonte&amp;" "&amp;IF(Fonte="sinapi",SUBSTITUTE(SUBSTITUTE(Código,"/00","/"),"/0","/"),Código),INDIRECT("'[Referência "&amp;_xlnm.Database&amp;".xls]Banco'!$a:$a"),0),"X")</f>
        <v>X</v>
      </c>
      <c r="Y13" s="103">
        <v>0</v>
      </c>
      <c r="Z13" s="113">
        <f ca="1">ROUND(IF(ISNUMBER(R13),R13,IF(LEFT(R13,3)="BDI",HLOOKUP(R13,DADOS!$T$37:$X$38,2,FALSE),0)),15-11*$X$5)</f>
        <v>0.21390000000000001</v>
      </c>
      <c r="AA13" s="1"/>
    </row>
    <row r="14" spans="1:27" x14ac:dyDescent="0.2">
      <c r="A14">
        <f>CHOOSE(1+LOG(1+2*(J14="Meta")+4*(J14="Nível 2")+8*(J14="Nível 3")+16*(J14="Nível 4")+32*(J14="Serviço"),2),0,1,2,3,4,"S")</f>
        <v>2</v>
      </c>
      <c r="B14">
        <f ca="1">IF(OR(A14="S",A14=0),0,IF(ISERROR(I14),H14,SMALL(H14:I14,1)))</f>
        <v>9</v>
      </c>
      <c r="C14">
        <f ca="1">IF($A14=1,OFFSET(C14,-1,0)+1,OFFSET(C14,-1,0))</f>
        <v>1</v>
      </c>
      <c r="D14">
        <f ca="1">IF($A14=1,0,IF($A14=2,OFFSET(D14,-1,0)+1,OFFSET(D14,-1,0)))</f>
        <v>1</v>
      </c>
      <c r="E14">
        <f ca="1">IF(AND($A14&lt;=2,$A14&lt;&gt;0),0,IF($A14=3,OFFSET(E14,-1,0)+1,OFFSET(E14,-1,0)))</f>
        <v>0</v>
      </c>
      <c r="F14">
        <f ca="1">IF(AND($A14&lt;=3,$A14&lt;&gt;0),0,IF($A14=4,OFFSET(F14,-1,0)+1,OFFSET(F14,-1,0)))</f>
        <v>0</v>
      </c>
      <c r="G14">
        <f ca="1">IF(AND($A14&lt;=4,$A14&lt;&gt;0),0,IF($A14="S",OFFSET(G14,-1,0)+1,OFFSET(G14,-1,0)))</f>
        <v>0</v>
      </c>
      <c r="H14">
        <f ca="1">IF(OR($A14="S",$A14=0),0,MATCH(0,OFFSET($B14,1,$A14,ROW($A$242)-ROW($A14)),0))</f>
        <v>228</v>
      </c>
      <c r="I14">
        <f ca="1">IF(OR($A14="S",$A14=0),0,MATCH(OFFSET($B14,0,$A14)+1,OFFSET($B14,1,$A14,ROW($A$242)-ROW($A14)),0))</f>
        <v>9</v>
      </c>
      <c r="J14" s="353" t="s">
        <v>100</v>
      </c>
      <c r="K14" s="138" t="str">
        <f ca="1">IF($A14=0,"-",CONCATENATE(C14&amp;".",IF(AND($A$5&gt;=2,$A14&gt;=2),D14&amp;".",""),IF(AND($A$5&gt;=3,$A14&gt;=3),E14&amp;".",""),IF(AND($A$5&gt;=4,$A14&gt;=4),F14&amp;".",""),IF($A14="S",G14&amp;".","")))</f>
        <v>1.1.</v>
      </c>
      <c r="L14" s="355"/>
      <c r="M14" s="355"/>
      <c r="N14" s="357" t="s">
        <v>235</v>
      </c>
      <c r="O14" s="358" t="s">
        <v>106</v>
      </c>
      <c r="P14" s="359">
        <v>4.5</v>
      </c>
      <c r="Q14" s="195"/>
      <c r="R14" s="198" t="s">
        <v>7</v>
      </c>
      <c r="S14" s="103">
        <f>IF($A14="S",IF($Q$10="Preço Unitário (R$)",PO.CustoUnitario,ROUND(PO.CustoUnitario*(1+$Z14),15-13*$X$6)),0)</f>
        <v>0</v>
      </c>
      <c r="T14" s="83">
        <f ca="1">IF($A14="S",VTOTAL1,IF($A14=0,0,ROUND(SomaAgrup,15-13*$X$7)))</f>
        <v>0</v>
      </c>
      <c r="U14" s="9" t="str">
        <f ca="1">IF($J14="","",IF($N14="","DESCRIÇÃO",IF(AND($J14="Serviço",$O14=""),"UNIDADE",IF($T14&lt;=0,"SEM VALOR",IF(AND($Y14&lt;&gt;"",$Q14&gt;$Y14),"ACIMA REF.","")))))</f>
        <v>SEM VALOR</v>
      </c>
      <c r="V14" s="1" t="str">
        <f ca="1">IF(OR($A14=0,$A14="S",$A14&gt;CFF!$A$9),"",MAX(V$12:OFFSET(V14,-1,0))+1)</f>
        <v/>
      </c>
      <c r="W14" s="4" t="b">
        <f>IF(AND($J14="Serviço",$M14&lt;&gt;""),IF($L14="",$M14,CONCATENATE($L14,"-",$M14)))</f>
        <v>0</v>
      </c>
      <c r="X14" s="1" t="str">
        <f ca="1">IF(AND(Fonte&lt;&gt;"",Código&lt;&gt;""),MATCH(Fonte&amp;" "&amp;IF(Fonte="sinapi",SUBSTITUTE(SUBSTITUTE(Código,"/00","/"),"/0","/"),Código),INDIRECT("'[Referência "&amp;_xlnm.Database&amp;".xls]Banco'!$a:$a"),0),"X")</f>
        <v>X</v>
      </c>
      <c r="Y14" s="103">
        <v>0</v>
      </c>
      <c r="Z14" s="113">
        <f ca="1">ROUND(IF(ISNUMBER(R14),R14,IF(LEFT(R14,3)="BDI",HLOOKUP(R14,DADOS!$T$37:$X$38,2,FALSE),0)),15-11*$X$5)</f>
        <v>0.21390000000000001</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ca="1">IF(OR($A15="S",$A15=0),0,MATCH(0,OFFSET($B15,1,$A15,ROW($A$242)-ROW($A15)),0))</f>
        <v>0</v>
      </c>
      <c r="I15">
        <f ca="1">IF(OR($A15="S",$A15=0),0,MATCH(OFFSET($B15,0,$A15)+1,OFFSET($B15,1,$A15,ROW($A$242)-ROW($A15)),0))</f>
        <v>0</v>
      </c>
      <c r="J15" s="353" t="s">
        <v>103</v>
      </c>
      <c r="K15" s="138" t="str">
        <f ca="1">IF($A15=0,"-",CONCATENATE(C15&amp;".",IF(AND($A$5&gt;=2,$A15&gt;=2),D15&amp;".",""),IF(AND($A$5&gt;=3,$A15&gt;=3),E15&amp;".",""),IF(AND($A$5&gt;=4,$A15&gt;=4),F15&amp;".",""),IF($A15="S",G15&amp;".","")))</f>
        <v>1.1.0.0.1.</v>
      </c>
      <c r="L15" s="355" t="s">
        <v>231</v>
      </c>
      <c r="M15" s="355" t="s">
        <v>272</v>
      </c>
      <c r="N15" s="357" t="s">
        <v>456</v>
      </c>
      <c r="O15" s="358" t="s">
        <v>628</v>
      </c>
      <c r="P15" s="359">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f ca="1">IF(AND(Fonte&lt;&gt;"",Código&lt;&gt;""),MATCH(Fonte&amp;" "&amp;IF(Fonte="sinapi",SUBSTITUTE(SUBSTITUTE(Código,"/00","/"),"/0","/"),Código),INDIRECT("'[Referência "&amp;_xlnm.Database&amp;".xls]Banco'!$a:$a"),0),"X")</f>
        <v>13735</v>
      </c>
      <c r="Y15" s="103">
        <v>558.92999999999995</v>
      </c>
      <c r="Z15" s="113">
        <f ca="1">ROUND(IF(ISNUMBER(R15),R15,IF(LEFT(R15,3)="BDI",HLOOKUP(R15,DADOS!$T$37:$X$38,2,FALSE),0)),15-11*$X$5)</f>
        <v>0.21390000000000001</v>
      </c>
      <c r="AA15" s="1"/>
    </row>
    <row r="16" spans="1:27" x14ac:dyDescent="0.2">
      <c r="A16" t="str">
        <f t="shared" si="0"/>
        <v>S</v>
      </c>
      <c r="B16">
        <f t="shared" si="1"/>
        <v>0</v>
      </c>
      <c r="C16">
        <f t="shared" ca="1" si="2"/>
        <v>1</v>
      </c>
      <c r="D16">
        <f t="shared" ca="1" si="3"/>
        <v>1</v>
      </c>
      <c r="E16">
        <f t="shared" ca="1" si="4"/>
        <v>0</v>
      </c>
      <c r="F16">
        <f t="shared" ca="1" si="5"/>
        <v>0</v>
      </c>
      <c r="G16">
        <f t="shared" ca="1" si="6"/>
        <v>2</v>
      </c>
      <c r="H16">
        <f ca="1">IF(OR($A16="S",$A16=0),0,MATCH(0,OFFSET($B16,1,$A16,ROW($A$242)-ROW($A16)),0))</f>
        <v>0</v>
      </c>
      <c r="I16">
        <f ca="1">IF(OR($A16="S",$A16=0),0,MATCH(OFFSET($B16,0,$A16)+1,OFFSET($B16,1,$A16,ROW($A$242)-ROW($A16)),0))</f>
        <v>0</v>
      </c>
      <c r="J16" s="353" t="s">
        <v>103</v>
      </c>
      <c r="K16" s="138" t="str">
        <f t="shared" ca="1" si="7"/>
        <v>1.1.0.0.2.</v>
      </c>
      <c r="L16" s="355" t="s">
        <v>237</v>
      </c>
      <c r="M16" s="355" t="s">
        <v>239</v>
      </c>
      <c r="N16" s="357" t="s">
        <v>457</v>
      </c>
      <c r="O16" s="358" t="s">
        <v>629</v>
      </c>
      <c r="P16" s="359">
        <v>1</v>
      </c>
      <c r="Q16" s="195"/>
      <c r="R16" s="198" t="s">
        <v>7</v>
      </c>
      <c r="S16" s="103">
        <f t="shared" ref="S16:S21" si="11">IF($A16="S",IF($Q$10="Preço Unitário (R$)",PO.CustoUnitario,ROUND(PO.CustoUnitario*(1+$Z16),15-13*$X$6)),0)</f>
        <v>0</v>
      </c>
      <c r="T16" s="83">
        <f t="shared" ref="T16:T21" si="12">IF($A16="S",VTOTAL1,IF($A16=0,0,ROUND(SomaAgrup,15-13*$X$7)))</f>
        <v>0</v>
      </c>
      <c r="U16" s="9" t="str">
        <f t="shared" si="8"/>
        <v>SEM VALOR</v>
      </c>
      <c r="V16" s="1" t="str">
        <f ca="1">IF(OR($A16=0,$A16="S",$A16&gt;CFF!$A$9),"",MAX(V$12:OFFSET(V16,-1,0))+1)</f>
        <v/>
      </c>
      <c r="W16" s="4" t="str">
        <f t="shared" si="9"/>
        <v>PM BENTO-91</v>
      </c>
      <c r="X16" s="1">
        <f t="shared" ca="1" si="10"/>
        <v>25</v>
      </c>
      <c r="Y16" s="103">
        <v>14361.65</v>
      </c>
      <c r="Z16" s="113">
        <f ca="1">ROUND(IF(ISNUMBER(R16),R16,IF(LEFT(R16,3)="BDI",HLOOKUP(R16,DADOS!$T$37:$X$38,2,FALSE),0)),15-11*$X$5)</f>
        <v>0.21390000000000001</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ca="1">IF(OR($A17="S",$A17=0),0,MATCH(0,OFFSET($B17,1,$A17,ROW($A$242)-ROW($A17)),0))</f>
        <v>0</v>
      </c>
      <c r="I17">
        <f ca="1">IF(OR($A17="S",$A17=0),0,MATCH(OFFSET($B17,0,$A17)+1,OFFSET($B17,1,$A17,ROW($A$242)-ROW($A17)),0))</f>
        <v>0</v>
      </c>
      <c r="J17" s="353" t="s">
        <v>103</v>
      </c>
      <c r="K17" s="138" t="str">
        <f t="shared" ca="1" si="7"/>
        <v>1.1.0.0.3.</v>
      </c>
      <c r="L17" s="355" t="s">
        <v>236</v>
      </c>
      <c r="M17" s="355" t="s">
        <v>240</v>
      </c>
      <c r="N17" s="357" t="s">
        <v>458</v>
      </c>
      <c r="O17" s="358" t="s">
        <v>630</v>
      </c>
      <c r="P17" s="359">
        <v>4</v>
      </c>
      <c r="Q17" s="195"/>
      <c r="R17" s="198" t="s">
        <v>7</v>
      </c>
      <c r="S17" s="103">
        <f t="shared" si="11"/>
        <v>0</v>
      </c>
      <c r="T17" s="83">
        <f t="shared" si="12"/>
        <v>0</v>
      </c>
      <c r="U17" s="9" t="str">
        <f t="shared" si="8"/>
        <v>SEM VALOR</v>
      </c>
      <c r="V17" s="1" t="str">
        <f ca="1">IF(OR($A17=0,$A17="S",$A17&gt;CFF!$A$9),"",MAX(V$12:OFFSET(V17,-1,0))+1)</f>
        <v/>
      </c>
      <c r="W17" s="4" t="str">
        <f t="shared" si="9"/>
        <v>SINAPI-I-10775</v>
      </c>
      <c r="X17" s="1">
        <f t="shared" ca="1" si="10"/>
        <v>2664</v>
      </c>
      <c r="Y17" s="103">
        <v>1335.29</v>
      </c>
      <c r="Z17" s="113">
        <f ca="1">ROUND(IF(ISNUMBER(R17),R17,IF(LEFT(R17,3)="BDI",HLOOKUP(R17,DADOS!$T$37:$X$38,2,FALSE),0)),15-11*$X$5)</f>
        <v>0.21390000000000001</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ca="1">IF(OR($A18="S",$A18=0),0,MATCH(0,OFFSET($B18,1,$A18,ROW($A$242)-ROW($A18)),0))</f>
        <v>0</v>
      </c>
      <c r="I18">
        <f ca="1">IF(OR($A18="S",$A18=0),0,MATCH(OFFSET($B18,0,$A18)+1,OFFSET($B18,1,$A18,ROW($A$242)-ROW($A18)),0))</f>
        <v>0</v>
      </c>
      <c r="J18" s="353" t="s">
        <v>103</v>
      </c>
      <c r="K18" s="138" t="str">
        <f t="shared" ca="1" si="7"/>
        <v>1.1.0.0.4.</v>
      </c>
      <c r="L18" s="355" t="s">
        <v>231</v>
      </c>
      <c r="M18" s="355" t="s">
        <v>324</v>
      </c>
      <c r="N18" s="357" t="s">
        <v>459</v>
      </c>
      <c r="O18" s="358" t="s">
        <v>629</v>
      </c>
      <c r="P18" s="359">
        <v>1</v>
      </c>
      <c r="Q18" s="195"/>
      <c r="R18" s="198" t="s">
        <v>7</v>
      </c>
      <c r="S18" s="103">
        <f t="shared" si="11"/>
        <v>0</v>
      </c>
      <c r="T18" s="83">
        <f t="shared" si="12"/>
        <v>0</v>
      </c>
      <c r="U18" s="9" t="str">
        <f t="shared" si="8"/>
        <v>SEM VALOR</v>
      </c>
      <c r="V18" s="1" t="str">
        <f ca="1">IF(OR($A18=0,$A18="S",$A18&gt;CFF!$A$9),"",MAX(V$12:OFFSET(V18,-1,0))+1)</f>
        <v/>
      </c>
      <c r="W18" s="4" t="str">
        <f t="shared" si="9"/>
        <v>SINAPI-105115</v>
      </c>
      <c r="X18" s="1">
        <f t="shared" ca="1" si="10"/>
        <v>11531</v>
      </c>
      <c r="Y18" s="103">
        <v>159.57</v>
      </c>
      <c r="Z18" s="113">
        <f ca="1">ROUND(IF(ISNUMBER(R18),R18,IF(LEFT(R18,3)="BDI",HLOOKUP(R18,DADOS!$T$37:$X$38,2,FALSE),0)),15-11*$X$5)</f>
        <v>0.21390000000000001</v>
      </c>
      <c r="AA18" s="1"/>
    </row>
    <row r="19" spans="1:27" ht="38.25" x14ac:dyDescent="0.2">
      <c r="A19" t="str">
        <f t="shared" si="0"/>
        <v>S</v>
      </c>
      <c r="B19">
        <f t="shared" si="1"/>
        <v>0</v>
      </c>
      <c r="C19">
        <f t="shared" ca="1" si="2"/>
        <v>1</v>
      </c>
      <c r="D19">
        <f t="shared" ca="1" si="3"/>
        <v>1</v>
      </c>
      <c r="E19">
        <f t="shared" ca="1" si="4"/>
        <v>0</v>
      </c>
      <c r="F19">
        <f t="shared" ca="1" si="5"/>
        <v>0</v>
      </c>
      <c r="G19">
        <f t="shared" ca="1" si="6"/>
        <v>5</v>
      </c>
      <c r="H19">
        <f ca="1">IF(OR($A19="S",$A19=0),0,MATCH(0,OFFSET($B19,1,$A19,ROW($A$242)-ROW($A19)),0))</f>
        <v>0</v>
      </c>
      <c r="I19">
        <f ca="1">IF(OR($A19="S",$A19=0),0,MATCH(OFFSET($B19,0,$A19)+1,OFFSET($B19,1,$A19,ROW($A$242)-ROW($A19)),0))</f>
        <v>0</v>
      </c>
      <c r="J19" s="353" t="s">
        <v>103</v>
      </c>
      <c r="K19" s="138" t="str">
        <f t="shared" ca="1" si="7"/>
        <v>1.1.0.0.5.</v>
      </c>
      <c r="L19" s="355" t="s">
        <v>236</v>
      </c>
      <c r="M19" s="355" t="s">
        <v>325</v>
      </c>
      <c r="N19" s="357" t="s">
        <v>460</v>
      </c>
      <c r="O19" s="358" t="s">
        <v>631</v>
      </c>
      <c r="P19" s="359">
        <f>(24*3)-(24*3)+(6*3)*2-(6*3)*2+30-30+(20*4)</f>
        <v>80</v>
      </c>
      <c r="Q19" s="195"/>
      <c r="R19" s="198" t="s">
        <v>7</v>
      </c>
      <c r="S19" s="103">
        <f t="shared" si="11"/>
        <v>0</v>
      </c>
      <c r="T19" s="83">
        <f t="shared" si="12"/>
        <v>0</v>
      </c>
      <c r="U19" s="9" t="str">
        <f t="shared" si="8"/>
        <v>SEM VALOR</v>
      </c>
      <c r="V19" s="1" t="str">
        <f ca="1">IF(OR($A19=0,$A19="S",$A19&gt;CFF!$A$9),"",MAX(V$12:OFFSET(V19,-1,0))+1)</f>
        <v/>
      </c>
      <c r="W19" s="4" t="str">
        <f t="shared" si="9"/>
        <v>SINAPI-I-10527</v>
      </c>
      <c r="X19" s="1">
        <f t="shared" ca="1" si="10"/>
        <v>2653</v>
      </c>
      <c r="Y19" s="103">
        <v>40.06</v>
      </c>
      <c r="Z19" s="113">
        <f ca="1">ROUND(IF(ISNUMBER(R19),R19,IF(LEFT(R19,3)="BDI",HLOOKUP(R19,DADOS!$T$37:$X$38,2,FALSE),0)),15-11*$X$5)</f>
        <v>0.21390000000000001</v>
      </c>
      <c r="AA19" s="1"/>
    </row>
    <row r="20" spans="1:27" ht="25.5" x14ac:dyDescent="0.2">
      <c r="A20" t="str">
        <f t="shared" si="0"/>
        <v>S</v>
      </c>
      <c r="B20">
        <f t="shared" si="1"/>
        <v>0</v>
      </c>
      <c r="C20">
        <f t="shared" ca="1" si="2"/>
        <v>1</v>
      </c>
      <c r="D20">
        <f t="shared" ca="1" si="3"/>
        <v>1</v>
      </c>
      <c r="E20">
        <f t="shared" ca="1" si="4"/>
        <v>0</v>
      </c>
      <c r="F20">
        <f t="shared" ca="1" si="5"/>
        <v>0</v>
      </c>
      <c r="G20">
        <f t="shared" ca="1" si="6"/>
        <v>6</v>
      </c>
      <c r="H20">
        <f ca="1">IF(OR($A20="S",$A20=0),0,MATCH(0,OFFSET($B20,1,$A20,ROW($A$242)-ROW($A20)),0))</f>
        <v>0</v>
      </c>
      <c r="I20">
        <f ca="1">IF(OR($A20="S",$A20=0),0,MATCH(OFFSET($B20,0,$A20)+1,OFFSET($B20,1,$A20,ROW($A$242)-ROW($A20)),0))</f>
        <v>0</v>
      </c>
      <c r="J20" s="353" t="s">
        <v>103</v>
      </c>
      <c r="K20" s="138" t="str">
        <f t="shared" ca="1" si="7"/>
        <v>1.1.0.0.6.</v>
      </c>
      <c r="L20" s="355" t="s">
        <v>231</v>
      </c>
      <c r="M20" s="355" t="s">
        <v>326</v>
      </c>
      <c r="N20" s="357" t="s">
        <v>461</v>
      </c>
      <c r="O20" s="358" t="s">
        <v>632</v>
      </c>
      <c r="P20" s="359">
        <v>262</v>
      </c>
      <c r="Q20" s="195"/>
      <c r="R20" s="198" t="s">
        <v>7</v>
      </c>
      <c r="S20" s="103">
        <f t="shared" si="11"/>
        <v>0</v>
      </c>
      <c r="T20" s="83">
        <f t="shared" si="12"/>
        <v>0</v>
      </c>
      <c r="U20" s="9" t="str">
        <f t="shared" si="8"/>
        <v>SEM VALOR</v>
      </c>
      <c r="V20" s="1" t="str">
        <f ca="1">IF(OR($A20=0,$A20="S",$A20&gt;CFF!$A$9),"",MAX(V$12:OFFSET(V20,-1,0))+1)</f>
        <v/>
      </c>
      <c r="W20" s="4" t="str">
        <f t="shared" si="9"/>
        <v>SINAPI-97064</v>
      </c>
      <c r="X20" s="1">
        <f t="shared" ca="1" si="10"/>
        <v>7927</v>
      </c>
      <c r="Y20" s="103">
        <v>37.97</v>
      </c>
      <c r="Z20" s="113">
        <f ca="1">ROUND(IF(ISNUMBER(R20),R20,IF(LEFT(R20,3)="BDI",HLOOKUP(R20,DADOS!$T$37:$X$38,2,FALSE),0)),15-11*$X$5)</f>
        <v>0.21390000000000001</v>
      </c>
      <c r="AA20" s="1"/>
    </row>
    <row r="21" spans="1:27" x14ac:dyDescent="0.2">
      <c r="A21" t="str">
        <f t="shared" si="0"/>
        <v>S</v>
      </c>
      <c r="B21">
        <f t="shared" si="1"/>
        <v>0</v>
      </c>
      <c r="C21">
        <f t="shared" ca="1" si="2"/>
        <v>1</v>
      </c>
      <c r="D21">
        <f t="shared" ca="1" si="3"/>
        <v>1</v>
      </c>
      <c r="E21">
        <f t="shared" ca="1" si="4"/>
        <v>0</v>
      </c>
      <c r="F21">
        <f t="shared" ca="1" si="5"/>
        <v>0</v>
      </c>
      <c r="G21">
        <f t="shared" ca="1" si="6"/>
        <v>7</v>
      </c>
      <c r="H21">
        <f ca="1">IF(OR($A21="S",$A21=0),0,MATCH(0,OFFSET($B21,1,$A21,ROW($A$242)-ROW($A21)),0))</f>
        <v>0</v>
      </c>
      <c r="I21">
        <f ca="1">IF(OR($A21="S",$A21=0),0,MATCH(OFFSET($B21,0,$A21)+1,OFFSET($B21,1,$A21,ROW($A$242)-ROW($A21)),0))</f>
        <v>0</v>
      </c>
      <c r="J21" s="353" t="s">
        <v>103</v>
      </c>
      <c r="K21" s="138" t="str">
        <f t="shared" ca="1" si="7"/>
        <v>1.1.0.0.7.</v>
      </c>
      <c r="L21" s="355" t="s">
        <v>237</v>
      </c>
      <c r="M21" s="355" t="s">
        <v>247</v>
      </c>
      <c r="N21" s="357" t="s">
        <v>462</v>
      </c>
      <c r="O21" s="358" t="s">
        <v>632</v>
      </c>
      <c r="P21" s="359">
        <v>85</v>
      </c>
      <c r="Q21" s="195"/>
      <c r="R21" s="198" t="s">
        <v>7</v>
      </c>
      <c r="S21" s="103">
        <f t="shared" si="11"/>
        <v>0</v>
      </c>
      <c r="T21" s="83">
        <f t="shared" si="12"/>
        <v>0</v>
      </c>
      <c r="U21" s="9" t="str">
        <f t="shared" si="8"/>
        <v>SEM VALOR</v>
      </c>
      <c r="V21" s="1" t="str">
        <f ca="1">IF(OR($A21=0,$A21="S",$A21&gt;CFF!$A$9),"",MAX(V$12:OFFSET(V21,-1,0))+1)</f>
        <v/>
      </c>
      <c r="W21" s="4" t="str">
        <f t="shared" si="9"/>
        <v>PM BENTO-40</v>
      </c>
      <c r="X21" s="1">
        <f t="shared" ca="1" si="10"/>
        <v>7</v>
      </c>
      <c r="Y21" s="103">
        <v>8.81</v>
      </c>
      <c r="Z21" s="113">
        <f ca="1">ROUND(IF(ISNUMBER(R21),R21,IF(LEFT(R21,3)="BDI",HLOOKUP(R21,DADOS!$T$37:$X$38,2,FALSE),0)),15-11*$X$5)</f>
        <v>0.21390000000000001</v>
      </c>
      <c r="AA21" s="1"/>
    </row>
    <row r="22" spans="1:27" x14ac:dyDescent="0.2">
      <c r="A22" t="str">
        <f>CHOOSE(1+LOG(1+2*(J22="Meta")+4*(J22="Nível 2")+8*(J22="Nível 3")+16*(J22="Nível 4")+32*(J22="Serviço"),2),0,1,2,3,4,"S")</f>
        <v>S</v>
      </c>
      <c r="B22">
        <f>IF(OR(A22="S",A22=0),0,IF(ISERROR(I22),H22,SMALL(H22:I22,1)))</f>
        <v>0</v>
      </c>
      <c r="C22">
        <f ca="1">IF($A22=1,OFFSET(C22,-1,0)+1,OFFSET(C22,-1,0))</f>
        <v>1</v>
      </c>
      <c r="D22">
        <f ca="1">IF($A22=1,0,IF($A22=2,OFFSET(D22,-1,0)+1,OFFSET(D22,-1,0)))</f>
        <v>1</v>
      </c>
      <c r="E22">
        <f ca="1">IF(AND($A22&lt;=2,$A22&lt;&gt;0),0,IF($A22=3,OFFSET(E22,-1,0)+1,OFFSET(E22,-1,0)))</f>
        <v>0</v>
      </c>
      <c r="F22">
        <f ca="1">IF(AND($A22&lt;=3,$A22&lt;&gt;0),0,IF($A22=4,OFFSET(F22,-1,0)+1,OFFSET(F22,-1,0)))</f>
        <v>0</v>
      </c>
      <c r="G22">
        <f ca="1">IF(AND($A22&lt;=4,$A22&lt;&gt;0),0,IF($A22="S",OFFSET(G22,-1,0)+1,OFFSET(G22,-1,0)))</f>
        <v>8</v>
      </c>
      <c r="H22">
        <f ca="1">IF(OR($A22="S",$A22=0),0,MATCH(0,OFFSET($B22,1,$A22,ROW($A$242)-ROW($A22)),0))</f>
        <v>0</v>
      </c>
      <c r="I22">
        <f ca="1">IF(OR($A22="S",$A22=0),0,MATCH(OFFSET($B22,0,$A22)+1,OFFSET($B22,1,$A22,ROW($A$242)-ROW($A22)),0))</f>
        <v>0</v>
      </c>
      <c r="J22" s="353" t="s">
        <v>103</v>
      </c>
      <c r="K22" s="138" t="str">
        <f ca="1">IF($A22=0,"-",CONCATENATE(C22&amp;".",IF(AND($A$5&gt;=2,$A22&gt;=2),D22&amp;".",""),IF(AND($A$5&gt;=3,$A22&gt;=3),E22&amp;".",""),IF(AND($A$5&gt;=4,$A22&gt;=4),F22&amp;".",""),IF($A22="S",G22&amp;".","")))</f>
        <v>1.1.0.0.8.</v>
      </c>
      <c r="L22" s="355" t="s">
        <v>231</v>
      </c>
      <c r="M22" s="355" t="s">
        <v>334</v>
      </c>
      <c r="N22" s="357" t="s">
        <v>463</v>
      </c>
      <c r="O22" s="358" t="s">
        <v>628</v>
      </c>
      <c r="P22" s="359">
        <v>50</v>
      </c>
      <c r="Q22" s="195"/>
      <c r="R22" s="198" t="s">
        <v>7</v>
      </c>
      <c r="S22" s="103">
        <f>IF($A22="S",IF($Q$10="Preço Unitário (R$)",PO.CustoUnitario,ROUND(PO.CustoUnitario*(1+$Z22),15-13*$X$6)),0)</f>
        <v>0</v>
      </c>
      <c r="T22" s="83">
        <f>IF($A22="S",VTOTAL1,IF($A22=0,0,ROUND(SomaAgrup,15-13*$X$7)))</f>
        <v>0</v>
      </c>
      <c r="U22" s="9" t="str">
        <f>IF($J22="","",IF($N22="","DESCRIÇÃO",IF(AND($J22="Serviço",$O22=""),"UNIDADE",IF($T22&lt;=0,"SEM VALOR",IF(AND($Y22&lt;&gt;"",$Q22&gt;$Y22),"ACIMA REF.","")))))</f>
        <v>SEM VALOR</v>
      </c>
      <c r="V22" s="1" t="str">
        <f ca="1">IF(OR($A22=0,$A22="S",$A22&gt;CFF!$A$9),"",MAX(V$12:OFFSET(V22,-1,0))+1)</f>
        <v/>
      </c>
      <c r="W22" s="4" t="str">
        <f>IF(AND($J22="Serviço",$M22&lt;&gt;""),IF($L22="",$M22,CONCATENATE($L22,"-",$M22)))</f>
        <v>SINAPI-98459</v>
      </c>
      <c r="X22" s="1">
        <f ca="1">IF(AND(Fonte&lt;&gt;"",Código&lt;&gt;""),MATCH(Fonte&amp;" "&amp;IF(Fonte="sinapi",SUBSTITUTE(SUBSTITUTE(Código,"/00","/"),"/0","/"),Código),INDIRECT("'[Referência "&amp;_xlnm.Database&amp;".xls]Banco'!$a:$a"),0),"X")</f>
        <v>11559</v>
      </c>
      <c r="Y22" s="103">
        <v>98.94</v>
      </c>
      <c r="Z22" s="113">
        <f ca="1">ROUND(IF(ISNUMBER(R22),R22,IF(LEFT(R22,3)="BDI",HLOOKUP(R22,DADOS!$T$37:$X$38,2,FALSE),0)),15-11*$X$5)</f>
        <v>0.21390000000000001</v>
      </c>
      <c r="AA22" s="1"/>
    </row>
    <row r="23" spans="1:27" x14ac:dyDescent="0.2">
      <c r="A23">
        <f t="shared" si="0"/>
        <v>2</v>
      </c>
      <c r="B23">
        <f t="shared" ca="1" si="1"/>
        <v>19</v>
      </c>
      <c r="C23">
        <f t="shared" ca="1" si="2"/>
        <v>1</v>
      </c>
      <c r="D23">
        <f t="shared" ca="1" si="3"/>
        <v>2</v>
      </c>
      <c r="E23">
        <f t="shared" ca="1" si="4"/>
        <v>0</v>
      </c>
      <c r="F23">
        <f t="shared" ca="1" si="5"/>
        <v>0</v>
      </c>
      <c r="G23">
        <f t="shared" ca="1" si="6"/>
        <v>0</v>
      </c>
      <c r="H23">
        <f ca="1">IF(OR($A23="S",$A23=0),0,MATCH(0,OFFSET($B23,1,$A23,ROW($A$242)-ROW($A23)),0))</f>
        <v>219</v>
      </c>
      <c r="I23">
        <f ca="1">IF(OR($A23="S",$A23=0),0,MATCH(OFFSET($B23,0,$A23)+1,OFFSET($B23,1,$A23,ROW($A$242)-ROW($A23)),0))</f>
        <v>19</v>
      </c>
      <c r="J23" s="353" t="s">
        <v>100</v>
      </c>
      <c r="K23" s="138" t="str">
        <f t="shared" ca="1" si="7"/>
        <v>1.2.</v>
      </c>
      <c r="L23" s="355" t="s">
        <v>231</v>
      </c>
      <c r="M23" s="355"/>
      <c r="N23" s="357" t="s">
        <v>241</v>
      </c>
      <c r="O23" s="358" t="s">
        <v>106</v>
      </c>
      <c r="P23" s="359">
        <v>1.96</v>
      </c>
      <c r="Q23" s="195"/>
      <c r="R23" s="198" t="s">
        <v>7</v>
      </c>
      <c r="S23" s="103">
        <f>IF($A23="S",IF($Q$10="Preço Unitário (R$)",PO.CustoUnitario,ROUND(PO.CustoUnitario*(1+$Z23),15-13*$X$6)),0)</f>
        <v>0</v>
      </c>
      <c r="T23" s="83">
        <f ca="1">IF($A23="S",VTOTAL1,IF($A23=0,0,ROUND(SomaAgrup,15-13*$X$7)))</f>
        <v>0</v>
      </c>
      <c r="U23" s="9" t="str">
        <f t="shared" ca="1" si="8"/>
        <v>SEM VALOR</v>
      </c>
      <c r="V23" s="1" t="str">
        <f ca="1">IF(OR($A23=0,$A23="S",$A23&gt;CFF!$A$9),"",MAX(V$12:OFFSET(V23,-1,0))+1)</f>
        <v/>
      </c>
      <c r="W23" s="4" t="b">
        <f t="shared" si="9"/>
        <v>0</v>
      </c>
      <c r="X23" s="1" t="str">
        <f t="shared" ca="1" si="10"/>
        <v>X</v>
      </c>
      <c r="Y23" s="103">
        <v>0</v>
      </c>
      <c r="Z23" s="113">
        <f ca="1">ROUND(IF(ISNUMBER(R23),R23,IF(LEFT(R23,3)="BDI",HLOOKUP(R23,DADOS!$T$37:$X$38,2,FALSE),0)),15-11*$X$5)</f>
        <v>0.21390000000000001</v>
      </c>
      <c r="AA23" s="1"/>
    </row>
    <row r="24" spans="1:27" x14ac:dyDescent="0.2">
      <c r="A24">
        <f t="shared" si="0"/>
        <v>3</v>
      </c>
      <c r="B24">
        <f t="shared" ca="1" si="1"/>
        <v>7</v>
      </c>
      <c r="C24">
        <f t="shared" ca="1" si="2"/>
        <v>1</v>
      </c>
      <c r="D24">
        <f t="shared" ca="1" si="3"/>
        <v>2</v>
      </c>
      <c r="E24">
        <f t="shared" ca="1" si="4"/>
        <v>1</v>
      </c>
      <c r="F24">
        <f t="shared" ca="1" si="5"/>
        <v>0</v>
      </c>
      <c r="G24">
        <f t="shared" ca="1" si="6"/>
        <v>0</v>
      </c>
      <c r="H24">
        <f ca="1">IF(OR($A24="S",$A24=0),0,MATCH(0,OFFSET($B24,1,$A24,ROW($A$242)-ROW($A24)),0))</f>
        <v>18</v>
      </c>
      <c r="I24">
        <f ca="1">IF(OR($A24="S",$A24=0),0,MATCH(OFFSET($B24,0,$A24)+1,OFFSET($B24,1,$A24,ROW($A$242)-ROW($A24)),0))</f>
        <v>7</v>
      </c>
      <c r="J24" s="353" t="s">
        <v>101</v>
      </c>
      <c r="K24" s="138" t="str">
        <f t="shared" ca="1" si="7"/>
        <v>1.2.1.</v>
      </c>
      <c r="L24" s="355"/>
      <c r="M24" s="355" t="s">
        <v>246</v>
      </c>
      <c r="N24" s="357" t="s">
        <v>435</v>
      </c>
      <c r="O24" s="358" t="s">
        <v>106</v>
      </c>
      <c r="P24" s="359"/>
      <c r="Q24" s="195"/>
      <c r="R24" s="198" t="s">
        <v>7</v>
      </c>
      <c r="S24" s="103">
        <f t="shared" ref="S24:S111" si="13">IF($A24="S",IF($Q$10="Preço Unitário (R$)",PO.CustoUnitario,ROUND(PO.CustoUnitario*(1+$Z24),15-13*$X$6)),0)</f>
        <v>0</v>
      </c>
      <c r="T24" s="83">
        <f t="shared" ref="T24:T111" ca="1" si="14">IF($A24="S",VTOTAL1,IF($A24=0,0,ROUND(SomaAgrup,15-13*$X$7)))</f>
        <v>0</v>
      </c>
      <c r="U24" s="9" t="str">
        <f t="shared" ca="1" si="8"/>
        <v>SEM VALOR</v>
      </c>
      <c r="V24" s="1" t="str">
        <f ca="1">IF(OR($A24=0,$A24="S",$A24&gt;CFF!$A$9),"",MAX(V$12:OFFSET(V24,-1,0))+1)</f>
        <v/>
      </c>
      <c r="W24" s="4" t="b">
        <f t="shared" si="9"/>
        <v>0</v>
      </c>
      <c r="X24" s="1" t="str">
        <f t="shared" ref="X24:X111" ca="1" si="15">IF(AND(Fonte&lt;&gt;"",Código&lt;&gt;""),MATCH(Fonte&amp;" "&amp;IF(Fonte="sinapi",SUBSTITUTE(SUBSTITUTE(Código,"/00","/"),"/0","/"),Código),INDIRECT("'[Referência "&amp;_xlnm.Database&amp;".xls]Banco'!$a:$a"),0),"X")</f>
        <v>X</v>
      </c>
      <c r="Y24" s="103">
        <v>0</v>
      </c>
      <c r="Z24" s="113">
        <f ca="1">ROUND(IF(ISNUMBER(R24),R24,IF(LEFT(R24,3)="BDI",HLOOKUP(R24,DADOS!$T$37:$X$38,2,FALSE),0)),15-11*$X$5)</f>
        <v>0.21390000000000001</v>
      </c>
      <c r="AA24" s="1"/>
    </row>
    <row r="25" spans="1:27" ht="25.5" x14ac:dyDescent="0.2">
      <c r="A25" t="str">
        <f t="shared" ref="A25:A111" si="16">CHOOSE(1+LOG(1+2*(J25="Meta")+4*(J25="Nível 2")+8*(J25="Nível 3")+16*(J25="Nível 4")+32*(J25="Serviço"),2),0,1,2,3,4,"S")</f>
        <v>S</v>
      </c>
      <c r="B25">
        <f t="shared" ref="B25:B111" si="17">IF(OR(A25="S",A25=0),0,IF(ISERROR(I25),H25,SMALL(H25:I25,1)))</f>
        <v>0</v>
      </c>
      <c r="C25">
        <f t="shared" ref="C25:C111" ca="1" si="18">IF($A25=1,OFFSET(C25,-1,0)+1,OFFSET(C25,-1,0))</f>
        <v>1</v>
      </c>
      <c r="D25">
        <f t="shared" ref="D25:D111" ca="1" si="19">IF($A25=1,0,IF($A25=2,OFFSET(D25,-1,0)+1,OFFSET(D25,-1,0)))</f>
        <v>2</v>
      </c>
      <c r="E25">
        <f t="shared" ref="E25:E111" ca="1" si="20">IF(AND($A25&lt;=2,$A25&lt;&gt;0),0,IF($A25=3,OFFSET(E25,-1,0)+1,OFFSET(E25,-1,0)))</f>
        <v>1</v>
      </c>
      <c r="F25">
        <f t="shared" ref="F25:F111" ca="1" si="21">IF(AND($A25&lt;=3,$A25&lt;&gt;0),0,IF($A25=4,OFFSET(F25,-1,0)+1,OFFSET(F25,-1,0)))</f>
        <v>0</v>
      </c>
      <c r="G25">
        <f t="shared" ref="G25:G111" ca="1" si="22">IF(AND($A25&lt;=4,$A25&lt;&gt;0),0,IF($A25="S",OFFSET(G25,-1,0)+1,OFFSET(G25,-1,0)))</f>
        <v>1</v>
      </c>
      <c r="H25">
        <f ca="1">IF(OR($A25="S",$A25=0),0,MATCH(0,OFFSET($B25,1,$A25,ROW($A$242)-ROW($A25)),0))</f>
        <v>0</v>
      </c>
      <c r="I25">
        <f ca="1">IF(OR($A25="S",$A25=0),0,MATCH(OFFSET($B25,0,$A25)+1,OFFSET($B25,1,$A25,ROW($A$242)-ROW($A25)),0))</f>
        <v>0</v>
      </c>
      <c r="J25" s="353" t="s">
        <v>103</v>
      </c>
      <c r="K25" s="138" t="str">
        <f t="shared" ref="K25:K111" ca="1" si="23">IF($A25=0,"-",CONCATENATE(C25&amp;".",IF(AND($A$5&gt;=2,$A25&gt;=2),D25&amp;".",""),IF(AND($A$5&gt;=3,$A25&gt;=3),E25&amp;".",""),IF(AND($A$5&gt;=4,$A25&gt;=4),F25&amp;".",""),IF($A25="S",G25&amp;".","")))</f>
        <v>1.2.1.0.1.</v>
      </c>
      <c r="L25" s="355" t="s">
        <v>231</v>
      </c>
      <c r="M25" s="355" t="s">
        <v>248</v>
      </c>
      <c r="N25" s="357" t="s">
        <v>464</v>
      </c>
      <c r="O25" s="358" t="s">
        <v>628</v>
      </c>
      <c r="P25" s="359">
        <f>1262.72-76.25+76.25</f>
        <v>1262.72</v>
      </c>
      <c r="Q25" s="195"/>
      <c r="R25" s="198" t="s">
        <v>7</v>
      </c>
      <c r="S25" s="103">
        <f t="shared" si="13"/>
        <v>0</v>
      </c>
      <c r="T25" s="83">
        <f t="shared" si="14"/>
        <v>0</v>
      </c>
      <c r="U25" s="9" t="str">
        <f t="shared" ref="U25:U111" si="24">IF($J25="","",IF($N25="","DESCRIÇÃO",IF(AND($J25="Serviço",$O25=""),"UNIDADE",IF($T25&lt;=0,"SEM VALOR",IF(AND($Y25&lt;&gt;"",$Q25&gt;$Y25),"ACIMA REF.","")))))</f>
        <v>SEM VALOR</v>
      </c>
      <c r="V25" s="1" t="str">
        <f ca="1">IF(OR($A25=0,$A25="S",$A25&gt;CFF!$A$9),"",MAX(V$12:OFFSET(V25,-1,0))+1)</f>
        <v/>
      </c>
      <c r="W25" s="4" t="str">
        <f t="shared" ref="W25:W111" si="25">IF(AND($J25="Serviço",$M25&lt;&gt;""),IF($L25="",$M25,CONCATENATE($L25,"-",$M25)))</f>
        <v>SINAPI-97647</v>
      </c>
      <c r="X25" s="1">
        <f t="shared" ca="1" si="15"/>
        <v>6800</v>
      </c>
      <c r="Y25" s="103">
        <v>4.5999999999999996</v>
      </c>
      <c r="Z25" s="113">
        <f ca="1">ROUND(IF(ISNUMBER(R25),R25,IF(LEFT(R25,3)="BDI",HLOOKUP(R25,DADOS!$T$37:$X$38,2,FALSE),0)),15-11*$X$5)</f>
        <v>0.21390000000000001</v>
      </c>
      <c r="AA25" s="1"/>
    </row>
    <row r="26" spans="1:27" ht="25.5" x14ac:dyDescent="0.2">
      <c r="A26" t="str">
        <f t="shared" si="16"/>
        <v>S</v>
      </c>
      <c r="B26">
        <f t="shared" si="17"/>
        <v>0</v>
      </c>
      <c r="C26">
        <f t="shared" ca="1" si="18"/>
        <v>1</v>
      </c>
      <c r="D26">
        <f t="shared" ca="1" si="19"/>
        <v>2</v>
      </c>
      <c r="E26">
        <f t="shared" ca="1" si="20"/>
        <v>1</v>
      </c>
      <c r="F26">
        <f t="shared" ca="1" si="21"/>
        <v>0</v>
      </c>
      <c r="G26">
        <f t="shared" ca="1" si="22"/>
        <v>2</v>
      </c>
      <c r="H26">
        <f ca="1">IF(OR($A26="S",$A26=0),0,MATCH(0,OFFSET($B26,1,$A26,ROW($A$242)-ROW($A26)),0))</f>
        <v>0</v>
      </c>
      <c r="I26">
        <f ca="1">IF(OR($A26="S",$A26=0),0,MATCH(OFFSET($B26,0,$A26)+1,OFFSET($B26,1,$A26,ROW($A$242)-ROW($A26)),0))</f>
        <v>0</v>
      </c>
      <c r="J26" s="353" t="s">
        <v>103</v>
      </c>
      <c r="K26" s="138" t="str">
        <f t="shared" ca="1" si="23"/>
        <v>1.2.1.0.2.</v>
      </c>
      <c r="L26" s="355" t="s">
        <v>231</v>
      </c>
      <c r="M26" s="355" t="s">
        <v>250</v>
      </c>
      <c r="N26" s="357" t="s">
        <v>465</v>
      </c>
      <c r="O26" s="358" t="s">
        <v>633</v>
      </c>
      <c r="P26" s="359">
        <f>P25*0.2</f>
        <v>252.54400000000001</v>
      </c>
      <c r="Q26" s="195"/>
      <c r="R26" s="198" t="s">
        <v>7</v>
      </c>
      <c r="S26" s="103">
        <f t="shared" si="13"/>
        <v>0</v>
      </c>
      <c r="T26" s="83">
        <f t="shared" si="14"/>
        <v>0</v>
      </c>
      <c r="U26" s="9" t="str">
        <f t="shared" si="24"/>
        <v>SEM VALOR</v>
      </c>
      <c r="V26" s="1" t="str">
        <f ca="1">IF(OR($A26=0,$A26="S",$A26&gt;CFF!$A$9),"",MAX(V$12:OFFSET(V26,-1,0))+1)</f>
        <v/>
      </c>
      <c r="W26" s="4" t="str">
        <f t="shared" si="25"/>
        <v>SINAPI-100276</v>
      </c>
      <c r="X26" s="1">
        <f t="shared" ca="1" si="15"/>
        <v>14105</v>
      </c>
      <c r="Y26" s="103">
        <v>43.26</v>
      </c>
      <c r="Z26" s="113">
        <f ca="1">ROUND(IF(ISNUMBER(R26),R26,IF(LEFT(R26,3)="BDI",HLOOKUP(R26,DADOS!$T$37:$X$38,2,FALSE),0)),15-11*$X$5)</f>
        <v>0.21390000000000001</v>
      </c>
      <c r="AA26" s="1"/>
    </row>
    <row r="27" spans="1:27" x14ac:dyDescent="0.2">
      <c r="A27" t="str">
        <f t="shared" si="16"/>
        <v>S</v>
      </c>
      <c r="B27">
        <f t="shared" si="17"/>
        <v>0</v>
      </c>
      <c r="C27">
        <f t="shared" ca="1" si="18"/>
        <v>1</v>
      </c>
      <c r="D27">
        <f t="shared" ca="1" si="19"/>
        <v>2</v>
      </c>
      <c r="E27">
        <f t="shared" ca="1" si="20"/>
        <v>1</v>
      </c>
      <c r="F27">
        <f t="shared" ca="1" si="21"/>
        <v>0</v>
      </c>
      <c r="G27">
        <f t="shared" ca="1" si="22"/>
        <v>3</v>
      </c>
      <c r="H27">
        <f ca="1">IF(OR($A27="S",$A27=0),0,MATCH(0,OFFSET($B27,1,$A27,ROW($A$242)-ROW($A27)),0))</f>
        <v>0</v>
      </c>
      <c r="I27">
        <f ca="1">IF(OR($A27="S",$A27=0),0,MATCH(OFFSET($B27,0,$A27)+1,OFFSET($B27,1,$A27,ROW($A$242)-ROW($A27)),0))</f>
        <v>0</v>
      </c>
      <c r="J27" s="353" t="s">
        <v>103</v>
      </c>
      <c r="K27" s="138" t="str">
        <f t="shared" ca="1" si="23"/>
        <v>1.2.1.0.3.</v>
      </c>
      <c r="L27" s="355" t="s">
        <v>231</v>
      </c>
      <c r="M27" s="355" t="s">
        <v>302</v>
      </c>
      <c r="N27" s="357" t="s">
        <v>466</v>
      </c>
      <c r="O27" s="358" t="s">
        <v>632</v>
      </c>
      <c r="P27" s="359">
        <f>140.29+27.45+18.24-24.3+24.3</f>
        <v>185.98</v>
      </c>
      <c r="Q27" s="195"/>
      <c r="R27" s="198" t="s">
        <v>7</v>
      </c>
      <c r="S27" s="103">
        <f t="shared" si="13"/>
        <v>0</v>
      </c>
      <c r="T27" s="83">
        <f t="shared" si="14"/>
        <v>0</v>
      </c>
      <c r="U27" s="9" t="str">
        <f t="shared" si="24"/>
        <v>SEM VALOR</v>
      </c>
      <c r="V27" s="1" t="str">
        <f ca="1">IF(OR($A27=0,$A27="S",$A27&gt;CFF!$A$9),"",MAX(V$12:OFFSET(V27,-1,0))+1)</f>
        <v/>
      </c>
      <c r="W27" s="4" t="str">
        <f t="shared" si="25"/>
        <v>SINAPI-104803</v>
      </c>
      <c r="X27" s="1">
        <f t="shared" ca="1" si="15"/>
        <v>6774</v>
      </c>
      <c r="Y27" s="103">
        <v>5.88</v>
      </c>
      <c r="Z27" s="113">
        <f ca="1">ROUND(IF(ISNUMBER(R27),R27,IF(LEFT(R27,3)="BDI",HLOOKUP(R27,DADOS!$T$37:$X$38,2,FALSE),0)),15-11*$X$5)</f>
        <v>0.21390000000000001</v>
      </c>
      <c r="AA27" s="1"/>
    </row>
    <row r="28" spans="1:27" x14ac:dyDescent="0.2">
      <c r="A28" t="str">
        <f t="shared" si="16"/>
        <v>S</v>
      </c>
      <c r="B28">
        <f t="shared" si="17"/>
        <v>0</v>
      </c>
      <c r="C28">
        <f t="shared" ca="1" si="18"/>
        <v>1</v>
      </c>
      <c r="D28">
        <f t="shared" ca="1" si="19"/>
        <v>2</v>
      </c>
      <c r="E28">
        <f t="shared" ca="1" si="20"/>
        <v>1</v>
      </c>
      <c r="F28">
        <f t="shared" ca="1" si="21"/>
        <v>0</v>
      </c>
      <c r="G28">
        <f t="shared" ca="1" si="22"/>
        <v>4</v>
      </c>
      <c r="H28">
        <f ca="1">IF(OR($A28="S",$A28=0),0,MATCH(0,OFFSET($B28,1,$A28,ROW($A$242)-ROW($A28)),0))</f>
        <v>0</v>
      </c>
      <c r="I28">
        <f ca="1">IF(OR($A28="S",$A28=0),0,MATCH(OFFSET($B28,0,$A28)+1,OFFSET($B28,1,$A28,ROW($A$242)-ROW($A28)),0))</f>
        <v>0</v>
      </c>
      <c r="J28" s="353" t="s">
        <v>103</v>
      </c>
      <c r="K28" s="138" t="str">
        <f t="shared" ca="1" si="23"/>
        <v>1.2.1.0.4.</v>
      </c>
      <c r="L28" s="355" t="s">
        <v>231</v>
      </c>
      <c r="M28" s="355" t="s">
        <v>259</v>
      </c>
      <c r="N28" s="357" t="s">
        <v>260</v>
      </c>
      <c r="O28" s="358" t="s">
        <v>632</v>
      </c>
      <c r="P28" s="359">
        <f>105-(3*3.5)+(3*3.5)</f>
        <v>105</v>
      </c>
      <c r="Q28" s="195"/>
      <c r="R28" s="198" t="s">
        <v>7</v>
      </c>
      <c r="S28" s="103">
        <f t="shared" si="13"/>
        <v>0</v>
      </c>
      <c r="T28" s="83">
        <f t="shared" si="14"/>
        <v>0</v>
      </c>
      <c r="U28" s="9" t="str">
        <f t="shared" si="24"/>
        <v>SEM VALOR</v>
      </c>
      <c r="V28" s="1" t="str">
        <f ca="1">IF(OR($A28=0,$A28="S",$A28&gt;CFF!$A$9),"",MAX(V$12:OFFSET(V28,-1,0))+1)</f>
        <v/>
      </c>
      <c r="W28" s="4" t="str">
        <f t="shared" si="25"/>
        <v>SINAPI-97662</v>
      </c>
      <c r="X28" s="1">
        <f t="shared" ca="1" si="15"/>
        <v>6813</v>
      </c>
      <c r="Y28" s="103">
        <v>0.67</v>
      </c>
      <c r="Z28" s="113">
        <f ca="1">ROUND(IF(ISNUMBER(R28),R28,IF(LEFT(R28,3)="BDI",HLOOKUP(R28,DADOS!$T$37:$X$38,2,FALSE),0)),15-11*$X$5)</f>
        <v>0.21390000000000001</v>
      </c>
      <c r="AA28" s="1"/>
    </row>
    <row r="29" spans="1:27" ht="25.5" x14ac:dyDescent="0.2">
      <c r="A29" t="str">
        <f>CHOOSE(1+LOG(1+2*(J29="Meta")+4*(J29="Nível 2")+8*(J29="Nível 3")+16*(J29="Nível 4")+32*(J29="Serviço"),2),0,1,2,3,4,"S")</f>
        <v>S</v>
      </c>
      <c r="B29">
        <f>IF(OR(A29="S",A29=0),0,IF(ISERROR(I29),H29,SMALL(H29:I29,1)))</f>
        <v>0</v>
      </c>
      <c r="C29">
        <f ca="1">IF($A29=1,OFFSET(C29,-1,0)+1,OFFSET(C29,-1,0))</f>
        <v>1</v>
      </c>
      <c r="D29">
        <f ca="1">IF($A29=1,0,IF($A29=2,OFFSET(D29,-1,0)+1,OFFSET(D29,-1,0)))</f>
        <v>2</v>
      </c>
      <c r="E29">
        <f ca="1">IF(AND($A29&lt;=2,$A29&lt;&gt;0),0,IF($A29=3,OFFSET(E29,-1,0)+1,OFFSET(E29,-1,0)))</f>
        <v>1</v>
      </c>
      <c r="F29">
        <f ca="1">IF(AND($A29&lt;=3,$A29&lt;&gt;0),0,IF($A29=4,OFFSET(F29,-1,0)+1,OFFSET(F29,-1,0)))</f>
        <v>0</v>
      </c>
      <c r="G29">
        <f ca="1">IF(AND($A29&lt;=4,$A29&lt;&gt;0),0,IF($A29="S",OFFSET(G29,-1,0)+1,OFFSET(G29,-1,0)))</f>
        <v>5</v>
      </c>
      <c r="H29">
        <f ca="1">IF(OR($A29="S",$A29=0),0,MATCH(0,OFFSET($B29,1,$A29,ROW($A$242)-ROW($A29)),0))</f>
        <v>0</v>
      </c>
      <c r="I29">
        <f ca="1">IF(OR($A29="S",$A29=0),0,MATCH(OFFSET($B29,0,$A29)+1,OFFSET($B29,1,$A29,ROW($A$242)-ROW($A29)),0))</f>
        <v>0</v>
      </c>
      <c r="J29" s="353" t="s">
        <v>103</v>
      </c>
      <c r="K29" s="138" t="str">
        <f ca="1">IF($A29=0,"-",CONCATENATE(C29&amp;".",IF(AND($A$5&gt;=2,$A29&gt;=2),D29&amp;".",""),IF(AND($A$5&gt;=3,$A29&gt;=3),E29&amp;".",""),IF(AND($A$5&gt;=4,$A29&gt;=4),F29&amp;".",""),IF($A29="S",G29&amp;".","")))</f>
        <v>1.2.1.0.5.</v>
      </c>
      <c r="L29" s="355" t="s">
        <v>231</v>
      </c>
      <c r="M29" s="355" t="s">
        <v>251</v>
      </c>
      <c r="N29" s="357" t="s">
        <v>467</v>
      </c>
      <c r="O29" s="358" t="s">
        <v>634</v>
      </c>
      <c r="P29" s="359">
        <f>P27*0.2</f>
        <v>37.195999999999998</v>
      </c>
      <c r="Q29" s="195"/>
      <c r="R29" s="198" t="s">
        <v>7</v>
      </c>
      <c r="S29" s="103">
        <f>IF($A29="S",IF($Q$10="Preço Unitário (R$)",PO.CustoUnitario,ROUND(PO.CustoUnitario*(1+$Z29),15-13*$X$6)),0)</f>
        <v>0</v>
      </c>
      <c r="T29" s="83">
        <f>IF($A29="S",VTOTAL1,IF($A29=0,0,ROUND(SomaAgrup,15-13*$X$7)))</f>
        <v>0</v>
      </c>
      <c r="U29" s="9" t="str">
        <f>IF($J29="","",IF($N29="","DESCRIÇÃO",IF(AND($J29="Serviço",$O29=""),"UNIDADE",IF($T29&lt;=0,"SEM VALOR",IF(AND($Y29&lt;&gt;"",$Q29&gt;$Y29),"ACIMA REF.","")))))</f>
        <v>SEM VALOR</v>
      </c>
      <c r="V29" s="1" t="str">
        <f ca="1">IF(OR($A29=0,$A29="S",$A29&gt;CFF!$A$9),"",MAX(V$12:OFFSET(V29,-1,0))+1)</f>
        <v/>
      </c>
      <c r="W29" s="4" t="str">
        <f>IF(AND($J29="Serviço",$M29&lt;&gt;""),IF($L29="",$M29,CONCATENATE($L29,"-",$M29)))</f>
        <v>SINAPI-100287</v>
      </c>
      <c r="X29" s="1">
        <f ca="1">IF(AND(Fonte&lt;&gt;"",Código&lt;&gt;""),MATCH(Fonte&amp;" "&amp;IF(Fonte="sinapi",SUBSTITUTE(SUBSTITUTE(Código,"/00","/"),"/0","/"),Código),INDIRECT("'[Referência "&amp;_xlnm.Database&amp;".xls]Banco'!$a:$a"),0),"X")</f>
        <v>14094</v>
      </c>
      <c r="Y29" s="103">
        <v>17.27</v>
      </c>
      <c r="Z29" s="113">
        <f ca="1">ROUND(IF(ISNUMBER(R29),R29,IF(LEFT(R29,3)="BDI",HLOOKUP(R29,DADOS!$T$37:$X$38,2,FALSE),0)),15-11*$X$5)</f>
        <v>0.21390000000000001</v>
      </c>
      <c r="AA29" s="1"/>
    </row>
    <row r="30" spans="1:27" ht="25.5" x14ac:dyDescent="0.2">
      <c r="A30" t="str">
        <f>CHOOSE(1+LOG(1+2*(J30="Meta")+4*(J30="Nível 2")+8*(J30="Nível 3")+16*(J30="Nível 4")+32*(J30="Serviço"),2),0,1,2,3,4,"S")</f>
        <v>S</v>
      </c>
      <c r="B30">
        <f>IF(OR(A30="S",A30=0),0,IF(ISERROR(I30),H30,SMALL(H30:I30,1)))</f>
        <v>0</v>
      </c>
      <c r="C30">
        <f ca="1">IF($A30=1,OFFSET(C30,-1,0)+1,OFFSET(C30,-1,0))</f>
        <v>1</v>
      </c>
      <c r="D30">
        <f ca="1">IF($A30=1,0,IF($A30=2,OFFSET(D30,-1,0)+1,OFFSET(D30,-1,0)))</f>
        <v>2</v>
      </c>
      <c r="E30">
        <f ca="1">IF(AND($A30&lt;=2,$A30&lt;&gt;0),0,IF($A30=3,OFFSET(E30,-1,0)+1,OFFSET(E30,-1,0)))</f>
        <v>1</v>
      </c>
      <c r="F30">
        <f ca="1">IF(AND($A30&lt;=3,$A30&lt;&gt;0),0,IF($A30=4,OFFSET(F30,-1,0)+1,OFFSET(F30,-1,0)))</f>
        <v>0</v>
      </c>
      <c r="G30">
        <f ca="1">IF(AND($A30&lt;=4,$A30&lt;&gt;0),0,IF($A30="S",OFFSET(G30,-1,0)+1,OFFSET(G30,-1,0)))</f>
        <v>6</v>
      </c>
      <c r="H30">
        <f ca="1">IF(OR($A30="S",$A30=0),0,MATCH(0,OFFSET($B30,1,$A30,ROW($A$242)-ROW($A30)),0))</f>
        <v>0</v>
      </c>
      <c r="I30">
        <f ca="1">IF(OR($A30="S",$A30=0),0,MATCH(OFFSET($B30,0,$A30)+1,OFFSET($B30,1,$A30,ROW($A$242)-ROW($A30)),0))</f>
        <v>0</v>
      </c>
      <c r="J30" s="353" t="s">
        <v>103</v>
      </c>
      <c r="K30" s="138" t="str">
        <f ca="1">IF($A30=0,"-",CONCATENATE(C30&amp;".",IF(AND($A$5&gt;=2,$A30&gt;=2),D30&amp;".",""),IF(AND($A$5&gt;=3,$A30&gt;=3),E30&amp;".",""),IF(AND($A$5&gt;=4,$A30&gt;=4),F30&amp;".",""),IF($A30="S",G30&amp;".","")))</f>
        <v>1.2.1.0.6.</v>
      </c>
      <c r="L30" s="355" t="s">
        <v>231</v>
      </c>
      <c r="M30" s="355" t="s">
        <v>344</v>
      </c>
      <c r="N30" s="357" t="s">
        <v>468</v>
      </c>
      <c r="O30" s="358" t="s">
        <v>628</v>
      </c>
      <c r="P30" s="359">
        <f>P25*0.15</f>
        <v>189.40799999999999</v>
      </c>
      <c r="Q30" s="195"/>
      <c r="R30" s="198" t="s">
        <v>7</v>
      </c>
      <c r="S30" s="103">
        <f>IF($A30="S",IF($Q$10="Preço Unitário (R$)",PO.CustoUnitario,ROUND(PO.CustoUnitario*(1+$Z30),15-13*$X$6)),0)</f>
        <v>0</v>
      </c>
      <c r="T30" s="83">
        <f>IF($A30="S",VTOTAL1,IF($A30=0,0,ROUND(SomaAgrup,15-13*$X$7)))</f>
        <v>0</v>
      </c>
      <c r="U30" s="9" t="str">
        <f>IF($J30="","",IF($N30="","DESCRIÇÃO",IF(AND($J30="Serviço",$O30=""),"UNIDADE",IF($T30&lt;=0,"SEM VALOR",IF(AND($Y30&lt;&gt;"",$Q30&gt;$Y30),"ACIMA REF.","")))))</f>
        <v>SEM VALOR</v>
      </c>
      <c r="V30" s="1" t="str">
        <f ca="1">IF(OR($A30=0,$A30="S",$A30&gt;CFF!$A$9),"",MAX(V$12:OFFSET(V30,-1,0))+1)</f>
        <v/>
      </c>
      <c r="W30" s="4" t="str">
        <f>IF(AND($J30="Serviço",$M30&lt;&gt;""),IF($L30="",$M30,CONCATENATE($L30,"-",$M30)))</f>
        <v>SINAPI-97650</v>
      </c>
      <c r="X30" s="1">
        <f ca="1">IF(AND(Fonte&lt;&gt;"",Código&lt;&gt;""),MATCH(Fonte&amp;" "&amp;IF(Fonte="sinapi",SUBSTITUTE(SUBSTITUTE(Código,"/00","/"),"/0","/"),Código),INDIRECT("'[Referência "&amp;_xlnm.Database&amp;".xls]Banco'!$a:$a"),0),"X")</f>
        <v>6810</v>
      </c>
      <c r="Y30" s="103">
        <v>9.93</v>
      </c>
      <c r="Z30" s="113">
        <f ca="1">ROUND(IF(ISNUMBER(R30),R30,IF(LEFT(R30,3)="BDI",HLOOKUP(R30,DADOS!$T$37:$X$38,2,FALSE),0)),15-11*$X$5)</f>
        <v>0.21390000000000001</v>
      </c>
      <c r="AA30" s="1"/>
    </row>
    <row r="31" spans="1:27" x14ac:dyDescent="0.2">
      <c r="A31">
        <f t="shared" si="16"/>
        <v>3</v>
      </c>
      <c r="B31">
        <f t="shared" ca="1" si="17"/>
        <v>7</v>
      </c>
      <c r="C31">
        <f t="shared" ca="1" si="18"/>
        <v>1</v>
      </c>
      <c r="D31">
        <f t="shared" ca="1" si="19"/>
        <v>2</v>
      </c>
      <c r="E31">
        <f t="shared" ca="1" si="20"/>
        <v>2</v>
      </c>
      <c r="F31">
        <f t="shared" ca="1" si="21"/>
        <v>0</v>
      </c>
      <c r="G31">
        <f t="shared" ca="1" si="22"/>
        <v>0</v>
      </c>
      <c r="H31">
        <f ca="1">IF(OR($A31="S",$A31=0),0,MATCH(0,OFFSET($B31,1,$A31,ROW($A$242)-ROW($A31)),0))</f>
        <v>11</v>
      </c>
      <c r="I31">
        <f ca="1">IF(OR($A31="S",$A31=0),0,MATCH(OFFSET($B31,0,$A31)+1,OFFSET($B31,1,$A31,ROW($A$242)-ROW($A31)),0))</f>
        <v>7</v>
      </c>
      <c r="J31" s="353" t="s">
        <v>101</v>
      </c>
      <c r="K31" s="138" t="str">
        <f t="shared" ca="1" si="23"/>
        <v>1.2.2.</v>
      </c>
      <c r="L31" s="355"/>
      <c r="M31" s="355"/>
      <c r="N31" s="357" t="s">
        <v>436</v>
      </c>
      <c r="O31" s="358" t="s">
        <v>106</v>
      </c>
      <c r="P31" s="359"/>
      <c r="Q31" s="195"/>
      <c r="R31" s="198" t="s">
        <v>7</v>
      </c>
      <c r="S31" s="103">
        <f t="shared" si="13"/>
        <v>0</v>
      </c>
      <c r="T31" s="83">
        <f t="shared" ca="1" si="14"/>
        <v>0</v>
      </c>
      <c r="U31" s="9" t="str">
        <f t="shared" ca="1" si="24"/>
        <v>SEM VALOR</v>
      </c>
      <c r="V31" s="1" t="str">
        <f ca="1">IF(OR($A31=0,$A31="S",$A31&gt;CFF!$A$9),"",MAX(V$12:OFFSET(V31,-1,0))+1)</f>
        <v/>
      </c>
      <c r="W31" s="4" t="b">
        <f t="shared" si="25"/>
        <v>0</v>
      </c>
      <c r="X31" s="1" t="str">
        <f t="shared" ca="1" si="15"/>
        <v>X</v>
      </c>
      <c r="Y31" s="103">
        <v>0</v>
      </c>
      <c r="Z31" s="113">
        <f ca="1">ROUND(IF(ISNUMBER(R31),R31,IF(LEFT(R31,3)="BDI",HLOOKUP(R31,DADOS!$T$37:$X$38,2,FALSE),0)),15-11*$X$5)</f>
        <v>0.21390000000000001</v>
      </c>
      <c r="AA31" s="1"/>
    </row>
    <row r="32" spans="1:27" x14ac:dyDescent="0.2">
      <c r="A32">
        <f t="shared" si="16"/>
        <v>4</v>
      </c>
      <c r="B32">
        <f t="shared" ca="1" si="17"/>
        <v>3</v>
      </c>
      <c r="C32">
        <f t="shared" ca="1" si="18"/>
        <v>1</v>
      </c>
      <c r="D32">
        <f t="shared" ca="1" si="19"/>
        <v>2</v>
      </c>
      <c r="E32">
        <f t="shared" ca="1" si="20"/>
        <v>2</v>
      </c>
      <c r="F32">
        <f t="shared" ca="1" si="21"/>
        <v>1</v>
      </c>
      <c r="G32">
        <f t="shared" ca="1" si="22"/>
        <v>0</v>
      </c>
      <c r="H32">
        <f ca="1">IF(OR($A32="S",$A32=0),0,MATCH(0,OFFSET($B32,1,$A32,ROW($A$242)-ROW($A32)),0))</f>
        <v>6</v>
      </c>
      <c r="I32">
        <f ca="1">IF(OR($A32="S",$A32=0),0,MATCH(OFFSET($B32,0,$A32)+1,OFFSET($B32,1,$A32,ROW($A$242)-ROW($A32)),0))</f>
        <v>3</v>
      </c>
      <c r="J32" s="353" t="s">
        <v>102</v>
      </c>
      <c r="K32" s="138" t="str">
        <f t="shared" ca="1" si="23"/>
        <v>1.2.2.1.</v>
      </c>
      <c r="L32" s="355"/>
      <c r="M32" s="355"/>
      <c r="N32" s="357" t="s">
        <v>437</v>
      </c>
      <c r="O32" s="358" t="s">
        <v>106</v>
      </c>
      <c r="P32" s="359"/>
      <c r="Q32" s="195"/>
      <c r="R32" s="198" t="s">
        <v>7</v>
      </c>
      <c r="S32" s="103">
        <f t="shared" si="13"/>
        <v>0</v>
      </c>
      <c r="T32" s="83">
        <f t="shared" ca="1" si="14"/>
        <v>0</v>
      </c>
      <c r="U32" s="9" t="str">
        <f t="shared" ca="1" si="24"/>
        <v>SEM VALOR</v>
      </c>
      <c r="V32" s="1" t="str">
        <f ca="1">IF(OR($A32=0,$A32="S",$A32&gt;CFF!$A$9),"",MAX(V$12:OFFSET(V32,-1,0))+1)</f>
        <v/>
      </c>
      <c r="W32" s="4" t="b">
        <f t="shared" si="25"/>
        <v>0</v>
      </c>
      <c r="X32" s="1" t="str">
        <f t="shared" ca="1" si="15"/>
        <v>X</v>
      </c>
      <c r="Y32" s="103">
        <v>0</v>
      </c>
      <c r="Z32" s="113">
        <f ca="1">ROUND(IF(ISNUMBER(R32),R32,IF(LEFT(R32,3)="BDI",HLOOKUP(R32,DADOS!$T$37:$X$38,2,FALSE),0)),15-11*$X$5)</f>
        <v>0.21390000000000001</v>
      </c>
      <c r="AA32" s="1"/>
    </row>
    <row r="33" spans="1:27" x14ac:dyDescent="0.2">
      <c r="A33" t="str">
        <f t="shared" si="16"/>
        <v>S</v>
      </c>
      <c r="B33">
        <f t="shared" si="17"/>
        <v>0</v>
      </c>
      <c r="C33">
        <f t="shared" ca="1" si="18"/>
        <v>1</v>
      </c>
      <c r="D33">
        <f t="shared" ca="1" si="19"/>
        <v>2</v>
      </c>
      <c r="E33">
        <f t="shared" ca="1" si="20"/>
        <v>2</v>
      </c>
      <c r="F33">
        <f t="shared" ca="1" si="21"/>
        <v>1</v>
      </c>
      <c r="G33">
        <f t="shared" ca="1" si="22"/>
        <v>1</v>
      </c>
      <c r="H33">
        <f ca="1">IF(OR($A33="S",$A33=0),0,MATCH(0,OFFSET($B33,1,$A33,ROW($A$242)-ROW($A33)),0))</f>
        <v>0</v>
      </c>
      <c r="I33">
        <f ca="1">IF(OR($A33="S",$A33=0),0,MATCH(OFFSET($B33,0,$A33)+1,OFFSET($B33,1,$A33,ROW($A$242)-ROW($A33)),0))</f>
        <v>0</v>
      </c>
      <c r="J33" s="353" t="s">
        <v>103</v>
      </c>
      <c r="K33" s="138" t="str">
        <f t="shared" ca="1" si="23"/>
        <v>1.2.2.1.1.</v>
      </c>
      <c r="L33" s="355" t="s">
        <v>237</v>
      </c>
      <c r="M33" s="355" t="s">
        <v>249</v>
      </c>
      <c r="N33" s="357" t="s">
        <v>469</v>
      </c>
      <c r="O33" s="358" t="s">
        <v>628</v>
      </c>
      <c r="P33" s="359">
        <v>996.15</v>
      </c>
      <c r="Q33" s="195"/>
      <c r="R33" s="198" t="s">
        <v>7</v>
      </c>
      <c r="S33" s="103">
        <f t="shared" si="13"/>
        <v>0</v>
      </c>
      <c r="T33" s="83">
        <f t="shared" si="14"/>
        <v>0</v>
      </c>
      <c r="U33" s="9" t="str">
        <f t="shared" si="24"/>
        <v>SEM VALOR</v>
      </c>
      <c r="V33" s="1" t="str">
        <f ca="1">IF(OR($A33=0,$A33="S",$A33&gt;CFF!$A$9),"",MAX(V$12:OFFSET(V33,-1,0))+1)</f>
        <v/>
      </c>
      <c r="W33" s="4" t="str">
        <f t="shared" si="25"/>
        <v>PM BENTO-100</v>
      </c>
      <c r="X33" s="1">
        <f t="shared" ca="1" si="15"/>
        <v>20</v>
      </c>
      <c r="Y33" s="103">
        <v>9.84</v>
      </c>
      <c r="Z33" s="113">
        <f ca="1">ROUND(IF(ISNUMBER(R33),R33,IF(LEFT(R33,3)="BDI",HLOOKUP(R33,DADOS!$T$37:$X$38,2,FALSE),0)),15-11*$X$5)</f>
        <v>0.21390000000000001</v>
      </c>
      <c r="AA33" s="1"/>
    </row>
    <row r="34" spans="1:27" ht="25.5" x14ac:dyDescent="0.2">
      <c r="A34" t="str">
        <f t="shared" si="16"/>
        <v>S</v>
      </c>
      <c r="B34">
        <f t="shared" si="17"/>
        <v>0</v>
      </c>
      <c r="C34">
        <f t="shared" ca="1" si="18"/>
        <v>1</v>
      </c>
      <c r="D34">
        <f t="shared" ca="1" si="19"/>
        <v>2</v>
      </c>
      <c r="E34">
        <f t="shared" ca="1" si="20"/>
        <v>2</v>
      </c>
      <c r="F34">
        <f t="shared" ca="1" si="21"/>
        <v>1</v>
      </c>
      <c r="G34">
        <f t="shared" ca="1" si="22"/>
        <v>2</v>
      </c>
      <c r="H34">
        <f ca="1">IF(OR($A34="S",$A34=0),0,MATCH(0,OFFSET($B34,1,$A34,ROW($A$242)-ROW($A34)),0))</f>
        <v>0</v>
      </c>
      <c r="I34">
        <f ca="1">IF(OR($A34="S",$A34=0),0,MATCH(OFFSET($B34,0,$A34)+1,OFFSET($B34,1,$A34,ROW($A$242)-ROW($A34)),0))</f>
        <v>0</v>
      </c>
      <c r="J34" s="353" t="s">
        <v>103</v>
      </c>
      <c r="K34" s="138" t="str">
        <f t="shared" ca="1" si="23"/>
        <v>1.2.2.1.2.</v>
      </c>
      <c r="L34" s="355" t="s">
        <v>231</v>
      </c>
      <c r="M34" s="355" t="s">
        <v>242</v>
      </c>
      <c r="N34" s="357" t="s">
        <v>470</v>
      </c>
      <c r="O34" s="358" t="s">
        <v>628</v>
      </c>
      <c r="P34" s="359">
        <f>P33</f>
        <v>996.15</v>
      </c>
      <c r="Q34" s="195"/>
      <c r="R34" s="198" t="s">
        <v>7</v>
      </c>
      <c r="S34" s="103">
        <f t="shared" si="13"/>
        <v>0</v>
      </c>
      <c r="T34" s="83">
        <f t="shared" si="14"/>
        <v>0</v>
      </c>
      <c r="U34" s="9" t="str">
        <f t="shared" si="24"/>
        <v>SEM VALOR</v>
      </c>
      <c r="V34" s="1" t="str">
        <f ca="1">IF(OR($A34=0,$A34="S",$A34&gt;CFF!$A$9),"",MAX(V$12:OFFSET(V34,-1,0))+1)</f>
        <v/>
      </c>
      <c r="W34" s="4" t="str">
        <f t="shared" si="25"/>
        <v>SINAPI-97642</v>
      </c>
      <c r="X34" s="1">
        <f t="shared" ca="1" si="15"/>
        <v>6811</v>
      </c>
      <c r="Y34" s="103">
        <v>3.88</v>
      </c>
      <c r="Z34" s="113">
        <f ca="1">ROUND(IF(ISNUMBER(R34),R34,IF(LEFT(R34,3)="BDI",HLOOKUP(R34,DADOS!$T$37:$X$38,2,FALSE),0)),15-11*$X$5)</f>
        <v>0.21390000000000001</v>
      </c>
      <c r="AA34" s="1"/>
    </row>
    <row r="35" spans="1:27" x14ac:dyDescent="0.2">
      <c r="A35">
        <f t="shared" si="16"/>
        <v>4</v>
      </c>
      <c r="B35">
        <f t="shared" ca="1" si="17"/>
        <v>3</v>
      </c>
      <c r="C35">
        <f t="shared" ca="1" si="18"/>
        <v>1</v>
      </c>
      <c r="D35">
        <f t="shared" ca="1" si="19"/>
        <v>2</v>
      </c>
      <c r="E35">
        <f t="shared" ca="1" si="20"/>
        <v>2</v>
      </c>
      <c r="F35">
        <f t="shared" ca="1" si="21"/>
        <v>2</v>
      </c>
      <c r="G35">
        <f t="shared" ca="1" si="22"/>
        <v>0</v>
      </c>
      <c r="H35">
        <f ca="1">IF(OR($A35="S",$A35=0),0,MATCH(0,OFFSET($B35,1,$A35,ROW($A$242)-ROW($A35)),0))</f>
        <v>3</v>
      </c>
      <c r="I35" t="e">
        <f ca="1">IF(OR($A35="S",$A35=0),0,MATCH(OFFSET($B35,0,$A35)+1,OFFSET($B35,1,$A35,ROW($A$242)-ROW($A35)),0))</f>
        <v>#N/A</v>
      </c>
      <c r="J35" s="353" t="s">
        <v>102</v>
      </c>
      <c r="K35" s="138" t="str">
        <f t="shared" ca="1" si="23"/>
        <v>1.2.2.2.</v>
      </c>
      <c r="L35" s="355"/>
      <c r="M35" s="355"/>
      <c r="N35" s="357" t="s">
        <v>438</v>
      </c>
      <c r="O35" s="358" t="s">
        <v>106</v>
      </c>
      <c r="P35" s="359"/>
      <c r="Q35" s="195"/>
      <c r="R35" s="198" t="s">
        <v>7</v>
      </c>
      <c r="S35" s="103">
        <f t="shared" si="13"/>
        <v>0</v>
      </c>
      <c r="T35" s="83">
        <f t="shared" ca="1" si="14"/>
        <v>0</v>
      </c>
      <c r="U35" s="9" t="str">
        <f t="shared" ca="1" si="24"/>
        <v>SEM VALOR</v>
      </c>
      <c r="V35" s="1" t="str">
        <f ca="1">IF(OR($A35=0,$A35="S",$A35&gt;CFF!$A$9),"",MAX(V$12:OFFSET(V35,-1,0))+1)</f>
        <v/>
      </c>
      <c r="W35" s="4" t="b">
        <f t="shared" si="25"/>
        <v>0</v>
      </c>
      <c r="X35" s="1" t="str">
        <f t="shared" ca="1" si="15"/>
        <v>X</v>
      </c>
      <c r="Y35" s="103">
        <v>0</v>
      </c>
      <c r="Z35" s="113">
        <f ca="1">ROUND(IF(ISNUMBER(R35),R35,IF(LEFT(R35,3)="BDI",HLOOKUP(R35,DADOS!$T$37:$X$38,2,FALSE),0)),15-11*$X$5)</f>
        <v>0.21390000000000001</v>
      </c>
      <c r="AA35" s="1"/>
    </row>
    <row r="36" spans="1:27" x14ac:dyDescent="0.2">
      <c r="A36" t="str">
        <f t="shared" si="16"/>
        <v>S</v>
      </c>
      <c r="B36">
        <f t="shared" si="17"/>
        <v>0</v>
      </c>
      <c r="C36">
        <f t="shared" ca="1" si="18"/>
        <v>1</v>
      </c>
      <c r="D36">
        <f t="shared" ca="1" si="19"/>
        <v>2</v>
      </c>
      <c r="E36">
        <f t="shared" ca="1" si="20"/>
        <v>2</v>
      </c>
      <c r="F36">
        <f t="shared" ca="1" si="21"/>
        <v>2</v>
      </c>
      <c r="G36">
        <f t="shared" ca="1" si="22"/>
        <v>1</v>
      </c>
      <c r="H36">
        <f ca="1">IF(OR($A36="S",$A36=0),0,MATCH(0,OFFSET($B36,1,$A36,ROW($A$242)-ROW($A36)),0))</f>
        <v>0</v>
      </c>
      <c r="I36">
        <f ca="1">IF(OR($A36="S",$A36=0),0,MATCH(OFFSET($B36,0,$A36)+1,OFFSET($B36,1,$A36,ROW($A$242)-ROW($A36)),0))</f>
        <v>0</v>
      </c>
      <c r="J36" s="353" t="s">
        <v>103</v>
      </c>
      <c r="K36" s="138" t="str">
        <f t="shared" ca="1" si="23"/>
        <v>1.2.2.2.1.</v>
      </c>
      <c r="L36" s="355" t="s">
        <v>237</v>
      </c>
      <c r="M36" s="355" t="s">
        <v>249</v>
      </c>
      <c r="N36" s="357" t="s">
        <v>469</v>
      </c>
      <c r="O36" s="358" t="s">
        <v>628</v>
      </c>
      <c r="P36" s="359">
        <v>156.30000000000001</v>
      </c>
      <c r="Q36" s="195"/>
      <c r="R36" s="198" t="s">
        <v>7</v>
      </c>
      <c r="S36" s="103">
        <f t="shared" si="13"/>
        <v>0</v>
      </c>
      <c r="T36" s="83">
        <f t="shared" si="14"/>
        <v>0</v>
      </c>
      <c r="U36" s="9" t="str">
        <f t="shared" si="24"/>
        <v>SEM VALOR</v>
      </c>
      <c r="V36" s="1" t="str">
        <f ca="1">IF(OR($A36=0,$A36="S",$A36&gt;CFF!$A$9),"",MAX(V$12:OFFSET(V36,-1,0))+1)</f>
        <v/>
      </c>
      <c r="W36" s="4" t="str">
        <f t="shared" si="25"/>
        <v>PM BENTO-100</v>
      </c>
      <c r="X36" s="1">
        <f t="shared" ca="1" si="15"/>
        <v>20</v>
      </c>
      <c r="Y36" s="103">
        <v>9.84</v>
      </c>
      <c r="Z36" s="113">
        <f ca="1">ROUND(IF(ISNUMBER(R36),R36,IF(LEFT(R36,3)="BDI",HLOOKUP(R36,DADOS!$T$37:$X$38,2,FALSE),0)),15-11*$X$5)</f>
        <v>0.21390000000000001</v>
      </c>
      <c r="AA36" s="1"/>
    </row>
    <row r="37" spans="1:27" ht="25.5" x14ac:dyDescent="0.2">
      <c r="A37" t="str">
        <f t="shared" si="16"/>
        <v>S</v>
      </c>
      <c r="B37">
        <f t="shared" si="17"/>
        <v>0</v>
      </c>
      <c r="C37">
        <f t="shared" ca="1" si="18"/>
        <v>1</v>
      </c>
      <c r="D37">
        <f t="shared" ca="1" si="19"/>
        <v>2</v>
      </c>
      <c r="E37">
        <f t="shared" ca="1" si="20"/>
        <v>2</v>
      </c>
      <c r="F37">
        <f t="shared" ca="1" si="21"/>
        <v>2</v>
      </c>
      <c r="G37">
        <f t="shared" ca="1" si="22"/>
        <v>2</v>
      </c>
      <c r="H37">
        <f ca="1">IF(OR($A37="S",$A37=0),0,MATCH(0,OFFSET($B37,1,$A37,ROW($A$242)-ROW($A37)),0))</f>
        <v>0</v>
      </c>
      <c r="I37">
        <f ca="1">IF(OR($A37="S",$A37=0),0,MATCH(OFFSET($B37,0,$A37)+1,OFFSET($B37,1,$A37,ROW($A$242)-ROW($A37)),0))</f>
        <v>0</v>
      </c>
      <c r="J37" s="353" t="s">
        <v>103</v>
      </c>
      <c r="K37" s="138" t="str">
        <f t="shared" ca="1" si="23"/>
        <v>1.2.2.2.2.</v>
      </c>
      <c r="L37" s="355" t="s">
        <v>231</v>
      </c>
      <c r="M37" s="355" t="s">
        <v>242</v>
      </c>
      <c r="N37" s="357" t="s">
        <v>470</v>
      </c>
      <c r="O37" s="358" t="s">
        <v>628</v>
      </c>
      <c r="P37" s="359">
        <f>P36</f>
        <v>156.30000000000001</v>
      </c>
      <c r="Q37" s="195"/>
      <c r="R37" s="198" t="s">
        <v>7</v>
      </c>
      <c r="S37" s="103">
        <f t="shared" si="13"/>
        <v>0</v>
      </c>
      <c r="T37" s="83">
        <f t="shared" si="14"/>
        <v>0</v>
      </c>
      <c r="U37" s="9" t="str">
        <f t="shared" si="24"/>
        <v>SEM VALOR</v>
      </c>
      <c r="V37" s="1" t="str">
        <f ca="1">IF(OR($A37=0,$A37="S",$A37&gt;CFF!$A$9),"",MAX(V$12:OFFSET(V37,-1,0))+1)</f>
        <v/>
      </c>
      <c r="W37" s="4" t="str">
        <f t="shared" si="25"/>
        <v>SINAPI-97642</v>
      </c>
      <c r="X37" s="1">
        <f t="shared" ca="1" si="15"/>
        <v>6811</v>
      </c>
      <c r="Y37" s="103">
        <v>3.88</v>
      </c>
      <c r="Z37" s="113">
        <f ca="1">ROUND(IF(ISNUMBER(R37),R37,IF(LEFT(R37,3)="BDI",HLOOKUP(R37,DADOS!$T$37:$X$38,2,FALSE),0)),15-11*$X$5)</f>
        <v>0.21390000000000001</v>
      </c>
      <c r="AA37" s="1"/>
    </row>
    <row r="38" spans="1:27" x14ac:dyDescent="0.2">
      <c r="A38">
        <f t="shared" si="16"/>
        <v>3</v>
      </c>
      <c r="B38">
        <f t="shared" ca="1" si="17"/>
        <v>4</v>
      </c>
      <c r="C38">
        <f t="shared" ca="1" si="18"/>
        <v>1</v>
      </c>
      <c r="D38">
        <f t="shared" ca="1" si="19"/>
        <v>2</v>
      </c>
      <c r="E38">
        <f t="shared" ca="1" si="20"/>
        <v>3</v>
      </c>
      <c r="F38">
        <f t="shared" ca="1" si="21"/>
        <v>0</v>
      </c>
      <c r="G38">
        <f t="shared" ca="1" si="22"/>
        <v>0</v>
      </c>
      <c r="H38">
        <f ca="1">IF(OR($A38="S",$A38=0),0,MATCH(0,OFFSET($B38,1,$A38,ROW($A$242)-ROW($A38)),0))</f>
        <v>4</v>
      </c>
      <c r="I38">
        <f ca="1">IF(OR($A38="S",$A38=0),0,MATCH(OFFSET($B38,0,$A38)+1,OFFSET($B38,1,$A38,ROW($A$242)-ROW($A38)),0))</f>
        <v>40</v>
      </c>
      <c r="J38" s="353" t="s">
        <v>101</v>
      </c>
      <c r="K38" s="138" t="str">
        <f t="shared" ca="1" si="23"/>
        <v>1.2.3.</v>
      </c>
      <c r="L38" s="355"/>
      <c r="M38" s="355"/>
      <c r="N38" s="357" t="s">
        <v>439</v>
      </c>
      <c r="O38" s="358" t="s">
        <v>106</v>
      </c>
      <c r="P38" s="359"/>
      <c r="Q38" s="195"/>
      <c r="R38" s="198" t="s">
        <v>7</v>
      </c>
      <c r="S38" s="103">
        <f t="shared" si="13"/>
        <v>0</v>
      </c>
      <c r="T38" s="83">
        <f t="shared" ca="1" si="14"/>
        <v>0</v>
      </c>
      <c r="U38" s="9" t="str">
        <f t="shared" ca="1" si="24"/>
        <v>SEM VALOR</v>
      </c>
      <c r="V38" s="1" t="str">
        <f ca="1">IF(OR($A38=0,$A38="S",$A38&gt;CFF!$A$9),"",MAX(V$12:OFFSET(V38,-1,0))+1)</f>
        <v/>
      </c>
      <c r="W38" s="4" t="b">
        <f t="shared" si="25"/>
        <v>0</v>
      </c>
      <c r="X38" s="1" t="str">
        <f t="shared" ca="1" si="15"/>
        <v>X</v>
      </c>
      <c r="Y38" s="103">
        <v>0</v>
      </c>
      <c r="Z38" s="113">
        <f ca="1">ROUND(IF(ISNUMBER(R38),R38,IF(LEFT(R38,3)="BDI",HLOOKUP(R38,DADOS!$T$37:$X$38,2,FALSE),0)),15-11*$X$5)</f>
        <v>0.21390000000000001</v>
      </c>
      <c r="AA38" s="1"/>
    </row>
    <row r="39" spans="1:27" x14ac:dyDescent="0.2">
      <c r="A39" t="str">
        <f t="shared" si="16"/>
        <v>S</v>
      </c>
      <c r="B39">
        <f t="shared" si="17"/>
        <v>0</v>
      </c>
      <c r="C39">
        <f t="shared" ca="1" si="18"/>
        <v>1</v>
      </c>
      <c r="D39">
        <f t="shared" ca="1" si="19"/>
        <v>2</v>
      </c>
      <c r="E39">
        <f t="shared" ca="1" si="20"/>
        <v>3</v>
      </c>
      <c r="F39">
        <f t="shared" ca="1" si="21"/>
        <v>0</v>
      </c>
      <c r="G39">
        <f t="shared" ca="1" si="22"/>
        <v>1</v>
      </c>
      <c r="H39">
        <f ca="1">IF(OR($A39="S",$A39=0),0,MATCH(0,OFFSET($B39,1,$A39,ROW($A$242)-ROW($A39)),0))</f>
        <v>0</v>
      </c>
      <c r="I39">
        <f ca="1">IF(OR($A39="S",$A39=0),0,MATCH(OFFSET($B39,0,$A39)+1,OFFSET($B39,1,$A39,ROW($A$242)-ROW($A39)),0))</f>
        <v>0</v>
      </c>
      <c r="J39" s="353" t="s">
        <v>103</v>
      </c>
      <c r="K39" s="138" t="str">
        <f t="shared" ca="1" si="23"/>
        <v>1.2.3.0.1.</v>
      </c>
      <c r="L39" s="355" t="s">
        <v>237</v>
      </c>
      <c r="M39" s="355" t="s">
        <v>276</v>
      </c>
      <c r="N39" s="357" t="s">
        <v>471</v>
      </c>
      <c r="O39" s="358" t="s">
        <v>635</v>
      </c>
      <c r="P39" s="359">
        <v>1</v>
      </c>
      <c r="Q39" s="195"/>
      <c r="R39" s="198" t="s">
        <v>7</v>
      </c>
      <c r="S39" s="103">
        <f t="shared" si="13"/>
        <v>0</v>
      </c>
      <c r="T39" s="83">
        <f t="shared" si="14"/>
        <v>0</v>
      </c>
      <c r="U39" s="9" t="str">
        <f t="shared" si="24"/>
        <v>SEM VALOR</v>
      </c>
      <c r="V39" s="1" t="str">
        <f ca="1">IF(OR($A39=0,$A39="S",$A39&gt;CFF!$A$9),"",MAX(V$12:OFFSET(V39,-1,0))+1)</f>
        <v/>
      </c>
      <c r="W39" s="4" t="str">
        <f t="shared" si="25"/>
        <v>PM BENTO-143</v>
      </c>
      <c r="X39" s="1">
        <f t="shared" ca="1" si="15"/>
        <v>71</v>
      </c>
      <c r="Y39" s="103">
        <v>63.85</v>
      </c>
      <c r="Z39" s="113">
        <f ca="1">ROUND(IF(ISNUMBER(R39),R39,IF(LEFT(R39,3)="BDI",HLOOKUP(R39,DADOS!$T$37:$X$38,2,FALSE),0)),15-11*$X$5)</f>
        <v>0.21390000000000001</v>
      </c>
      <c r="AA39" s="1"/>
    </row>
    <row r="40" spans="1:27" ht="25.5" x14ac:dyDescent="0.2">
      <c r="A40" t="str">
        <f t="shared" si="16"/>
        <v>S</v>
      </c>
      <c r="B40">
        <f t="shared" si="17"/>
        <v>0</v>
      </c>
      <c r="C40">
        <f t="shared" ca="1" si="18"/>
        <v>1</v>
      </c>
      <c r="D40">
        <f t="shared" ca="1" si="19"/>
        <v>2</v>
      </c>
      <c r="E40">
        <f t="shared" ca="1" si="20"/>
        <v>3</v>
      </c>
      <c r="F40">
        <f t="shared" ca="1" si="21"/>
        <v>0</v>
      </c>
      <c r="G40">
        <f t="shared" ca="1" si="22"/>
        <v>2</v>
      </c>
      <c r="H40">
        <f ca="1">IF(OR($A40="S",$A40=0),0,MATCH(0,OFFSET($B40,1,$A40,ROW($A$242)-ROW($A40)),0))</f>
        <v>0</v>
      </c>
      <c r="I40">
        <f ca="1">IF(OR($A40="S",$A40=0),0,MATCH(OFFSET($B40,0,$A40)+1,OFFSET($B40,1,$A40,ROW($A$242)-ROW($A40)),0))</f>
        <v>0</v>
      </c>
      <c r="J40" s="353" t="s">
        <v>103</v>
      </c>
      <c r="K40" s="138" t="str">
        <f t="shared" ca="1" si="23"/>
        <v>1.2.3.0.2.</v>
      </c>
      <c r="L40" s="355" t="s">
        <v>231</v>
      </c>
      <c r="M40" s="355" t="s">
        <v>277</v>
      </c>
      <c r="N40" s="357" t="s">
        <v>472</v>
      </c>
      <c r="O40" s="358" t="s">
        <v>636</v>
      </c>
      <c r="P40" s="359">
        <f>24.1*0.08</f>
        <v>1.9280000000000002</v>
      </c>
      <c r="Q40" s="195"/>
      <c r="R40" s="198" t="s">
        <v>7</v>
      </c>
      <c r="S40" s="103">
        <f t="shared" si="13"/>
        <v>0</v>
      </c>
      <c r="T40" s="83">
        <f t="shared" si="14"/>
        <v>0</v>
      </c>
      <c r="U40" s="9" t="str">
        <f t="shared" si="24"/>
        <v>SEM VALOR</v>
      </c>
      <c r="V40" s="1" t="str">
        <f ca="1">IF(OR($A40=0,$A40="S",$A40&gt;CFF!$A$9),"",MAX(V$12:OFFSET(V40,-1,0))+1)</f>
        <v/>
      </c>
      <c r="W40" s="4" t="str">
        <f t="shared" si="25"/>
        <v>SINAPI-97629</v>
      </c>
      <c r="X40" s="1">
        <f t="shared" ca="1" si="15"/>
        <v>6764</v>
      </c>
      <c r="Y40" s="103">
        <v>136.62</v>
      </c>
      <c r="Z40" s="113">
        <f ca="1">ROUND(IF(ISNUMBER(R40),R40,IF(LEFT(R40,3)="BDI",HLOOKUP(R40,DADOS!$T$37:$X$38,2,FALSE),0)),15-11*$X$5)</f>
        <v>0.21390000000000001</v>
      </c>
      <c r="AA40" s="1"/>
    </row>
    <row r="41" spans="1:27" ht="25.5" x14ac:dyDescent="0.2">
      <c r="A41" t="str">
        <f t="shared" si="16"/>
        <v>S</v>
      </c>
      <c r="B41">
        <f t="shared" si="17"/>
        <v>0</v>
      </c>
      <c r="C41">
        <f t="shared" ca="1" si="18"/>
        <v>1</v>
      </c>
      <c r="D41">
        <f t="shared" ca="1" si="19"/>
        <v>2</v>
      </c>
      <c r="E41">
        <f t="shared" ca="1" si="20"/>
        <v>3</v>
      </c>
      <c r="F41">
        <f t="shared" ca="1" si="21"/>
        <v>0</v>
      </c>
      <c r="G41">
        <f t="shared" ca="1" si="22"/>
        <v>3</v>
      </c>
      <c r="H41">
        <f ca="1">IF(OR($A41="S",$A41=0),0,MATCH(0,OFFSET($B41,1,$A41,ROW($A$242)-ROW($A41)),0))</f>
        <v>0</v>
      </c>
      <c r="I41">
        <f ca="1">IF(OR($A41="S",$A41=0),0,MATCH(OFFSET($B41,0,$A41)+1,OFFSET($B41,1,$A41,ROW($A$242)-ROW($A41)),0))</f>
        <v>0</v>
      </c>
      <c r="J41" s="353" t="s">
        <v>103</v>
      </c>
      <c r="K41" s="138" t="str">
        <f t="shared" ca="1" si="23"/>
        <v>1.2.3.0.3.</v>
      </c>
      <c r="L41" s="355" t="s">
        <v>231</v>
      </c>
      <c r="M41" s="355" t="s">
        <v>259</v>
      </c>
      <c r="N41" s="357" t="s">
        <v>473</v>
      </c>
      <c r="O41" s="358" t="s">
        <v>632</v>
      </c>
      <c r="P41" s="359">
        <v>4</v>
      </c>
      <c r="Q41" s="195"/>
      <c r="R41" s="198" t="s">
        <v>7</v>
      </c>
      <c r="S41" s="103">
        <f t="shared" si="13"/>
        <v>0</v>
      </c>
      <c r="T41" s="83">
        <f t="shared" si="14"/>
        <v>0</v>
      </c>
      <c r="U41" s="9" t="str">
        <f t="shared" si="24"/>
        <v>SEM VALOR</v>
      </c>
      <c r="V41" s="1" t="str">
        <f ca="1">IF(OR($A41=0,$A41="S",$A41&gt;CFF!$A$9),"",MAX(V$12:OFFSET(V41,-1,0))+1)</f>
        <v/>
      </c>
      <c r="W41" s="4" t="str">
        <f t="shared" si="25"/>
        <v>SINAPI-97662</v>
      </c>
      <c r="X41" s="1">
        <f t="shared" ca="1" si="15"/>
        <v>6813</v>
      </c>
      <c r="Y41" s="103">
        <v>0.67</v>
      </c>
      <c r="Z41" s="113">
        <f ca="1">ROUND(IF(ISNUMBER(R41),R41,IF(LEFT(R41,3)="BDI",HLOOKUP(R41,DADOS!$T$37:$X$38,2,FALSE),0)),15-11*$X$5)</f>
        <v>0.21390000000000001</v>
      </c>
      <c r="AA41" s="1"/>
    </row>
    <row r="42" spans="1:27" x14ac:dyDescent="0.2">
      <c r="A42">
        <f t="shared" si="16"/>
        <v>2</v>
      </c>
      <c r="B42">
        <f t="shared" ca="1" si="17"/>
        <v>12</v>
      </c>
      <c r="C42">
        <f t="shared" ca="1" si="18"/>
        <v>1</v>
      </c>
      <c r="D42">
        <f t="shared" ca="1" si="19"/>
        <v>3</v>
      </c>
      <c r="E42">
        <f t="shared" ca="1" si="20"/>
        <v>0</v>
      </c>
      <c r="F42">
        <f t="shared" ca="1" si="21"/>
        <v>0</v>
      </c>
      <c r="G42">
        <f t="shared" ca="1" si="22"/>
        <v>0</v>
      </c>
      <c r="H42">
        <f ca="1">IF(OR($A42="S",$A42=0),0,MATCH(0,OFFSET($B42,1,$A42,ROW($A$242)-ROW($A42)),0))</f>
        <v>200</v>
      </c>
      <c r="I42">
        <f ca="1">IF(OR($A42="S",$A42=0),0,MATCH(OFFSET($B42,0,$A42)+1,OFFSET($B42,1,$A42,ROW($A$242)-ROW($A42)),0))</f>
        <v>12</v>
      </c>
      <c r="J42" s="353" t="s">
        <v>100</v>
      </c>
      <c r="K42" s="138" t="str">
        <f t="shared" ca="1" si="23"/>
        <v>1.3.</v>
      </c>
      <c r="L42" s="355"/>
      <c r="M42" s="355"/>
      <c r="N42" s="357" t="s">
        <v>280</v>
      </c>
      <c r="O42" s="358" t="s">
        <v>106</v>
      </c>
      <c r="P42" s="359"/>
      <c r="Q42" s="195"/>
      <c r="R42" s="198" t="s">
        <v>7</v>
      </c>
      <c r="S42" s="103">
        <f t="shared" si="13"/>
        <v>0</v>
      </c>
      <c r="T42" s="83">
        <f t="shared" ca="1" si="14"/>
        <v>0</v>
      </c>
      <c r="U42" s="9" t="str">
        <f t="shared" ca="1" si="24"/>
        <v>SEM VALOR</v>
      </c>
      <c r="V42" s="1" t="str">
        <f ca="1">IF(OR($A42=0,$A42="S",$A42&gt;CFF!$A$9),"",MAX(V$12:OFFSET(V42,-1,0))+1)</f>
        <v/>
      </c>
      <c r="W42" s="4" t="b">
        <f t="shared" si="25"/>
        <v>0</v>
      </c>
      <c r="X42" s="1" t="str">
        <f t="shared" ca="1" si="15"/>
        <v>X</v>
      </c>
      <c r="Y42" s="103">
        <v>0</v>
      </c>
      <c r="Z42" s="113">
        <f ca="1">ROUND(IF(ISNUMBER(R42),R42,IF(LEFT(R42,3)="BDI",HLOOKUP(R42,DADOS!$T$37:$X$38,2,FALSE),0)),15-11*$X$5)</f>
        <v>0.21390000000000001</v>
      </c>
      <c r="AA42" s="1"/>
    </row>
    <row r="43" spans="1:27" x14ac:dyDescent="0.2">
      <c r="A43">
        <f t="shared" si="16"/>
        <v>3</v>
      </c>
      <c r="B43">
        <f t="shared" ca="1" si="17"/>
        <v>3</v>
      </c>
      <c r="C43">
        <f t="shared" ca="1" si="18"/>
        <v>1</v>
      </c>
      <c r="D43">
        <f t="shared" ca="1" si="19"/>
        <v>3</v>
      </c>
      <c r="E43">
        <f t="shared" ca="1" si="20"/>
        <v>1</v>
      </c>
      <c r="F43">
        <f t="shared" ca="1" si="21"/>
        <v>0</v>
      </c>
      <c r="G43">
        <f t="shared" ca="1" si="22"/>
        <v>0</v>
      </c>
      <c r="H43">
        <f ca="1">IF(OR($A43="S",$A43=0),0,MATCH(0,OFFSET($B43,1,$A43,ROW($A$242)-ROW($A43)),0))</f>
        <v>11</v>
      </c>
      <c r="I43">
        <f ca="1">IF(OR($A43="S",$A43=0),0,MATCH(OFFSET($B43,0,$A43)+1,OFFSET($B43,1,$A43,ROW($A$242)-ROW($A43)),0))</f>
        <v>3</v>
      </c>
      <c r="J43" s="353" t="s">
        <v>101</v>
      </c>
      <c r="K43" s="138" t="str">
        <f t="shared" ca="1" si="23"/>
        <v>1.3.1.</v>
      </c>
      <c r="L43" s="355"/>
      <c r="M43" s="355"/>
      <c r="N43" s="357" t="s">
        <v>442</v>
      </c>
      <c r="O43" s="358" t="s">
        <v>106</v>
      </c>
      <c r="P43" s="359"/>
      <c r="Q43" s="195"/>
      <c r="R43" s="198" t="s">
        <v>7</v>
      </c>
      <c r="S43" s="103">
        <f t="shared" si="13"/>
        <v>0</v>
      </c>
      <c r="T43" s="83">
        <f t="shared" ca="1" si="14"/>
        <v>0</v>
      </c>
      <c r="U43" s="9" t="str">
        <f t="shared" ca="1" si="24"/>
        <v>SEM VALOR</v>
      </c>
      <c r="V43" s="1" t="str">
        <f ca="1">IF(OR($A43=0,$A43="S",$A43&gt;CFF!$A$9),"",MAX(V$12:OFFSET(V43,-1,0))+1)</f>
        <v/>
      </c>
      <c r="W43" s="4" t="b">
        <f t="shared" si="25"/>
        <v>0</v>
      </c>
      <c r="X43" s="1" t="str">
        <f t="shared" ca="1" si="15"/>
        <v>X</v>
      </c>
      <c r="Y43" s="103">
        <v>0</v>
      </c>
      <c r="Z43" s="113">
        <f ca="1">ROUND(IF(ISNUMBER(R43),R43,IF(LEFT(R43,3)="BDI",HLOOKUP(R43,DADOS!$T$37:$X$38,2,FALSE),0)),15-11*$X$5)</f>
        <v>0.21390000000000001</v>
      </c>
      <c r="AA43" s="1"/>
    </row>
    <row r="44" spans="1:27" x14ac:dyDescent="0.2">
      <c r="A44" t="str">
        <f t="shared" si="16"/>
        <v>S</v>
      </c>
      <c r="B44">
        <f t="shared" si="17"/>
        <v>0</v>
      </c>
      <c r="C44">
        <f t="shared" ca="1" si="18"/>
        <v>1</v>
      </c>
      <c r="D44">
        <f t="shared" ca="1" si="19"/>
        <v>3</v>
      </c>
      <c r="E44">
        <f t="shared" ca="1" si="20"/>
        <v>1</v>
      </c>
      <c r="F44">
        <f t="shared" ca="1" si="21"/>
        <v>0</v>
      </c>
      <c r="G44">
        <f t="shared" ca="1" si="22"/>
        <v>1</v>
      </c>
      <c r="H44">
        <f ca="1">IF(OR($A44="S",$A44=0),0,MATCH(0,OFFSET($B44,1,$A44,ROW($A$242)-ROW($A44)),0))</f>
        <v>0</v>
      </c>
      <c r="I44">
        <f ca="1">IF(OR($A44="S",$A44=0),0,MATCH(OFFSET($B44,0,$A44)+1,OFFSET($B44,1,$A44,ROW($A$242)-ROW($A44)),0))</f>
        <v>0</v>
      </c>
      <c r="J44" s="353" t="s">
        <v>103</v>
      </c>
      <c r="K44" s="138" t="str">
        <f t="shared" ca="1" si="23"/>
        <v>1.3.1.0.1.</v>
      </c>
      <c r="L44" s="355" t="s">
        <v>237</v>
      </c>
      <c r="M44" s="355" t="s">
        <v>273</v>
      </c>
      <c r="N44" s="357" t="s">
        <v>474</v>
      </c>
      <c r="O44" s="358" t="s">
        <v>636</v>
      </c>
      <c r="P44" s="359">
        <v>1.62</v>
      </c>
      <c r="Q44" s="195"/>
      <c r="R44" s="198" t="s">
        <v>7</v>
      </c>
      <c r="S44" s="103">
        <f t="shared" si="13"/>
        <v>0</v>
      </c>
      <c r="T44" s="83">
        <f t="shared" si="14"/>
        <v>0</v>
      </c>
      <c r="U44" s="9" t="str">
        <f t="shared" si="24"/>
        <v>SEM VALOR</v>
      </c>
      <c r="V44" s="1" t="str">
        <f ca="1">IF(OR($A44=0,$A44="S",$A44&gt;CFF!$A$9),"",MAX(V$12:OFFSET(V44,-1,0))+1)</f>
        <v/>
      </c>
      <c r="W44" s="4" t="str">
        <f t="shared" si="25"/>
        <v>PM BENTO-43</v>
      </c>
      <c r="X44" s="1">
        <f t="shared" ca="1" si="15"/>
        <v>10</v>
      </c>
      <c r="Y44" s="103">
        <v>4139.8999999999996</v>
      </c>
      <c r="Z44" s="113">
        <f ca="1">ROUND(IF(ISNUMBER(R44),R44,IF(LEFT(R44,3)="BDI",HLOOKUP(R44,DADOS!$T$37:$X$38,2,FALSE),0)),15-11*$X$5)</f>
        <v>0.21390000000000001</v>
      </c>
      <c r="AA44" s="1"/>
    </row>
    <row r="45" spans="1:27" x14ac:dyDescent="0.2">
      <c r="A45" t="str">
        <f t="shared" si="16"/>
        <v>S</v>
      </c>
      <c r="B45">
        <f t="shared" si="17"/>
        <v>0</v>
      </c>
      <c r="C45">
        <f t="shared" ca="1" si="18"/>
        <v>1</v>
      </c>
      <c r="D45">
        <f t="shared" ca="1" si="19"/>
        <v>3</v>
      </c>
      <c r="E45">
        <f t="shared" ca="1" si="20"/>
        <v>1</v>
      </c>
      <c r="F45">
        <f t="shared" ca="1" si="21"/>
        <v>0</v>
      </c>
      <c r="G45">
        <f t="shared" ca="1" si="22"/>
        <v>2</v>
      </c>
      <c r="H45">
        <f ca="1">IF(OR($A45="S",$A45=0),0,MATCH(0,OFFSET($B45,1,$A45,ROW($A$242)-ROW($A45)),0))</f>
        <v>0</v>
      </c>
      <c r="I45">
        <f ca="1">IF(OR($A45="S",$A45=0),0,MATCH(OFFSET($B45,0,$A45)+1,OFFSET($B45,1,$A45,ROW($A$242)-ROW($A45)),0))</f>
        <v>0</v>
      </c>
      <c r="J45" s="353" t="s">
        <v>103</v>
      </c>
      <c r="K45" s="138" t="str">
        <f t="shared" ca="1" si="23"/>
        <v>1.3.1.0.2.</v>
      </c>
      <c r="L45" s="355" t="s">
        <v>237</v>
      </c>
      <c r="M45" s="355" t="s">
        <v>274</v>
      </c>
      <c r="N45" s="357" t="s">
        <v>475</v>
      </c>
      <c r="O45" s="358" t="s">
        <v>636</v>
      </c>
      <c r="P45" s="359">
        <v>2.41</v>
      </c>
      <c r="Q45" s="195"/>
      <c r="R45" s="198" t="s">
        <v>7</v>
      </c>
      <c r="S45" s="103">
        <f t="shared" si="13"/>
        <v>0</v>
      </c>
      <c r="T45" s="83">
        <f t="shared" si="14"/>
        <v>0</v>
      </c>
      <c r="U45" s="9" t="str">
        <f t="shared" si="24"/>
        <v>SEM VALOR</v>
      </c>
      <c r="V45" s="1" t="str">
        <f ca="1">IF(OR($A45=0,$A45="S",$A45&gt;CFF!$A$9),"",MAX(V$12:OFFSET(V45,-1,0))+1)</f>
        <v/>
      </c>
      <c r="W45" s="4" t="str">
        <f t="shared" si="25"/>
        <v>PM BENTO-44</v>
      </c>
      <c r="X45" s="1">
        <f t="shared" ca="1" si="15"/>
        <v>70</v>
      </c>
      <c r="Y45" s="103">
        <v>2372</v>
      </c>
      <c r="Z45" s="113">
        <f ca="1">ROUND(IF(ISNUMBER(R45),R45,IF(LEFT(R45,3)="BDI",HLOOKUP(R45,DADOS!$T$37:$X$38,2,FALSE),0)),15-11*$X$5)</f>
        <v>0.21390000000000001</v>
      </c>
      <c r="AA45" s="1"/>
    </row>
    <row r="46" spans="1:27" x14ac:dyDescent="0.2">
      <c r="A46">
        <f t="shared" si="16"/>
        <v>3</v>
      </c>
      <c r="B46">
        <f t="shared" ca="1" si="17"/>
        <v>5</v>
      </c>
      <c r="C46">
        <f t="shared" ca="1" si="18"/>
        <v>1</v>
      </c>
      <c r="D46">
        <f t="shared" ca="1" si="19"/>
        <v>3</v>
      </c>
      <c r="E46">
        <f t="shared" ca="1" si="20"/>
        <v>2</v>
      </c>
      <c r="F46">
        <f t="shared" ca="1" si="21"/>
        <v>0</v>
      </c>
      <c r="G46">
        <f t="shared" ca="1" si="22"/>
        <v>0</v>
      </c>
      <c r="H46">
        <f ca="1">IF(OR($A46="S",$A46=0),0,MATCH(0,OFFSET($B46,1,$A46,ROW($A$242)-ROW($A46)),0))</f>
        <v>8</v>
      </c>
      <c r="I46">
        <f ca="1">IF(OR($A46="S",$A46=0),0,MATCH(OFFSET($B46,0,$A46)+1,OFFSET($B46,1,$A46,ROW($A$242)-ROW($A46)),0))</f>
        <v>5</v>
      </c>
      <c r="J46" s="353" t="s">
        <v>101</v>
      </c>
      <c r="K46" s="138" t="str">
        <f t="shared" ca="1" si="23"/>
        <v>1.3.2.</v>
      </c>
      <c r="L46" s="355"/>
      <c r="M46" s="355"/>
      <c r="N46" s="357" t="s">
        <v>441</v>
      </c>
      <c r="O46" s="358" t="s">
        <v>106</v>
      </c>
      <c r="P46" s="359"/>
      <c r="Q46" s="195"/>
      <c r="R46" s="198" t="s">
        <v>7</v>
      </c>
      <c r="S46" s="103">
        <f t="shared" si="13"/>
        <v>0</v>
      </c>
      <c r="T46" s="83">
        <f t="shared" ca="1" si="14"/>
        <v>0</v>
      </c>
      <c r="U46" s="9" t="str">
        <f t="shared" ca="1" si="24"/>
        <v>SEM VALOR</v>
      </c>
      <c r="V46" s="1" t="str">
        <f ca="1">IF(OR($A46=0,$A46="S",$A46&gt;CFF!$A$9),"",MAX(V$12:OFFSET(V46,-1,0))+1)</f>
        <v/>
      </c>
      <c r="W46" s="4" t="b">
        <f t="shared" si="25"/>
        <v>0</v>
      </c>
      <c r="X46" s="1" t="str">
        <f t="shared" ca="1" si="15"/>
        <v>X</v>
      </c>
      <c r="Y46" s="103">
        <v>0</v>
      </c>
      <c r="Z46" s="113">
        <f ca="1">ROUND(IF(ISNUMBER(R46),R46,IF(LEFT(R46,3)="BDI",HLOOKUP(R46,DADOS!$T$37:$X$38,2,FALSE),0)),15-11*$X$5)</f>
        <v>0.21390000000000001</v>
      </c>
      <c r="AA46" s="1"/>
    </row>
    <row r="47" spans="1:27" ht="38.25" x14ac:dyDescent="0.2">
      <c r="A47" t="str">
        <f t="shared" si="16"/>
        <v>S</v>
      </c>
      <c r="B47">
        <f t="shared" si="17"/>
        <v>0</v>
      </c>
      <c r="C47">
        <f t="shared" ca="1" si="18"/>
        <v>1</v>
      </c>
      <c r="D47">
        <f t="shared" ca="1" si="19"/>
        <v>3</v>
      </c>
      <c r="E47">
        <f t="shared" ca="1" si="20"/>
        <v>2</v>
      </c>
      <c r="F47">
        <f t="shared" ca="1" si="21"/>
        <v>0</v>
      </c>
      <c r="G47">
        <f t="shared" ca="1" si="22"/>
        <v>1</v>
      </c>
      <c r="H47">
        <f ca="1">IF(OR($A47="S",$A47=0),0,MATCH(0,OFFSET($B47,1,$A47,ROW($A$242)-ROW($A47)),0))</f>
        <v>0</v>
      </c>
      <c r="I47">
        <f ca="1">IF(OR($A47="S",$A47=0),0,MATCH(OFFSET($B47,0,$A47)+1,OFFSET($B47,1,$A47,ROW($A$242)-ROW($A47)),0))</f>
        <v>0</v>
      </c>
      <c r="J47" s="353" t="s">
        <v>103</v>
      </c>
      <c r="K47" s="138" t="str">
        <f t="shared" ca="1" si="23"/>
        <v>1.3.2.0.1.</v>
      </c>
      <c r="L47" s="355" t="s">
        <v>231</v>
      </c>
      <c r="M47" s="355" t="s">
        <v>275</v>
      </c>
      <c r="N47" s="357" t="s">
        <v>476</v>
      </c>
      <c r="O47" s="358" t="s">
        <v>628</v>
      </c>
      <c r="P47" s="359">
        <v>24.1</v>
      </c>
      <c r="Q47" s="195"/>
      <c r="R47" s="198" t="s">
        <v>7</v>
      </c>
      <c r="S47" s="103">
        <f t="shared" si="13"/>
        <v>0</v>
      </c>
      <c r="T47" s="83">
        <f t="shared" si="14"/>
        <v>0</v>
      </c>
      <c r="U47" s="9" t="str">
        <f t="shared" si="24"/>
        <v>SEM VALOR</v>
      </c>
      <c r="V47" s="1" t="str">
        <f ca="1">IF(OR($A47=0,$A47="S",$A47&gt;CFF!$A$9),"",MAX(V$12:OFFSET(V47,-1,0))+1)</f>
        <v/>
      </c>
      <c r="W47" s="4" t="str">
        <f t="shared" si="25"/>
        <v>SINAPI-87745</v>
      </c>
      <c r="X47" s="1">
        <f t="shared" ca="1" si="15"/>
        <v>6350</v>
      </c>
      <c r="Y47" s="103">
        <v>69.59</v>
      </c>
      <c r="Z47" s="113">
        <f ca="1">ROUND(IF(ISNUMBER(R47),R47,IF(LEFT(R47,3)="BDI",HLOOKUP(R47,DADOS!$T$37:$X$38,2,FALSE),0)),15-11*$X$5)</f>
        <v>0.21390000000000001</v>
      </c>
      <c r="AA47" s="1"/>
    </row>
    <row r="48" spans="1:27" ht="25.5" x14ac:dyDescent="0.2">
      <c r="A48" t="str">
        <f t="shared" si="16"/>
        <v>S</v>
      </c>
      <c r="B48">
        <f t="shared" si="17"/>
        <v>0</v>
      </c>
      <c r="C48">
        <f t="shared" ca="1" si="18"/>
        <v>1</v>
      </c>
      <c r="D48">
        <f t="shared" ca="1" si="19"/>
        <v>3</v>
      </c>
      <c r="E48">
        <f t="shared" ca="1" si="20"/>
        <v>2</v>
      </c>
      <c r="F48">
        <f t="shared" ca="1" si="21"/>
        <v>0</v>
      </c>
      <c r="G48">
        <f t="shared" ca="1" si="22"/>
        <v>2</v>
      </c>
      <c r="H48">
        <f ca="1">IF(OR($A48="S",$A48=0),0,MATCH(0,OFFSET($B48,1,$A48,ROW($A$242)-ROW($A48)),0))</f>
        <v>0</v>
      </c>
      <c r="I48">
        <f ca="1">IF(OR($A48="S",$A48=0),0,MATCH(OFFSET($B48,0,$A48)+1,OFFSET($B48,1,$A48,ROW($A$242)-ROW($A48)),0))</f>
        <v>0</v>
      </c>
      <c r="J48" s="353" t="s">
        <v>103</v>
      </c>
      <c r="K48" s="138" t="str">
        <f t="shared" ca="1" si="23"/>
        <v>1.3.2.0.2.</v>
      </c>
      <c r="L48" s="355" t="s">
        <v>231</v>
      </c>
      <c r="M48" s="355" t="s">
        <v>270</v>
      </c>
      <c r="N48" s="357" t="s">
        <v>477</v>
      </c>
      <c r="O48" s="358" t="s">
        <v>628</v>
      </c>
      <c r="P48" s="359">
        <v>24.1</v>
      </c>
      <c r="Q48" s="195"/>
      <c r="R48" s="198" t="s">
        <v>7</v>
      </c>
      <c r="S48" s="103">
        <f t="shared" si="13"/>
        <v>0</v>
      </c>
      <c r="T48" s="83">
        <f t="shared" si="14"/>
        <v>0</v>
      </c>
      <c r="U48" s="9" t="str">
        <f t="shared" si="24"/>
        <v>SEM VALOR</v>
      </c>
      <c r="V48" s="1" t="str">
        <f ca="1">IF(OR($A48=0,$A48="S",$A48&gt;CFF!$A$9),"",MAX(V$12:OFFSET(V48,-1,0))+1)</f>
        <v/>
      </c>
      <c r="W48" s="4" t="str">
        <f t="shared" si="25"/>
        <v>SINAPI-98546</v>
      </c>
      <c r="X48" s="1">
        <f t="shared" ca="1" si="15"/>
        <v>9235</v>
      </c>
      <c r="Y48" s="103">
        <v>156.97</v>
      </c>
      <c r="Z48" s="113">
        <f ca="1">ROUND(IF(ISNUMBER(R48),R48,IF(LEFT(R48,3)="BDI",HLOOKUP(R48,DADOS!$T$37:$X$38,2,FALSE),0)),15-11*$X$5)</f>
        <v>0.21390000000000001</v>
      </c>
      <c r="AA48" s="1"/>
    </row>
    <row r="49" spans="1:27" ht="25.5" x14ac:dyDescent="0.2">
      <c r="A49" t="str">
        <f t="shared" si="16"/>
        <v>S</v>
      </c>
      <c r="B49">
        <f t="shared" si="17"/>
        <v>0</v>
      </c>
      <c r="C49">
        <f t="shared" ca="1" si="18"/>
        <v>1</v>
      </c>
      <c r="D49">
        <f t="shared" ca="1" si="19"/>
        <v>3</v>
      </c>
      <c r="E49">
        <f t="shared" ca="1" si="20"/>
        <v>2</v>
      </c>
      <c r="F49">
        <f t="shared" ca="1" si="21"/>
        <v>0</v>
      </c>
      <c r="G49">
        <f t="shared" ca="1" si="22"/>
        <v>3</v>
      </c>
      <c r="H49">
        <f ca="1">IF(OR($A49="S",$A49=0),0,MATCH(0,OFFSET($B49,1,$A49,ROW($A$242)-ROW($A49)),0))</f>
        <v>0</v>
      </c>
      <c r="I49">
        <f ca="1">IF(OR($A49="S",$A49=0),0,MATCH(OFFSET($B49,0,$A49)+1,OFFSET($B49,1,$A49,ROW($A$242)-ROW($A49)),0))</f>
        <v>0</v>
      </c>
      <c r="J49" s="353" t="s">
        <v>103</v>
      </c>
      <c r="K49" s="138" t="str">
        <f t="shared" ca="1" si="23"/>
        <v>1.3.2.0.3.</v>
      </c>
      <c r="L49" s="355" t="s">
        <v>231</v>
      </c>
      <c r="M49" s="355" t="s">
        <v>271</v>
      </c>
      <c r="N49" s="357" t="s">
        <v>478</v>
      </c>
      <c r="O49" s="358" t="s">
        <v>628</v>
      </c>
      <c r="P49" s="359">
        <v>24.1</v>
      </c>
      <c r="Q49" s="195"/>
      <c r="R49" s="198" t="s">
        <v>7</v>
      </c>
      <c r="S49" s="103">
        <f t="shared" si="13"/>
        <v>0</v>
      </c>
      <c r="T49" s="83">
        <f t="shared" si="14"/>
        <v>0</v>
      </c>
      <c r="U49" s="9" t="str">
        <f t="shared" si="24"/>
        <v>SEM VALOR</v>
      </c>
      <c r="V49" s="1" t="str">
        <f ca="1">IF(OR($A49=0,$A49="S",$A49&gt;CFF!$A$9),"",MAX(V$12:OFFSET(V49,-1,0))+1)</f>
        <v/>
      </c>
      <c r="W49" s="4" t="str">
        <f t="shared" si="25"/>
        <v>SINAPI-98565</v>
      </c>
      <c r="X49" s="1">
        <f t="shared" ca="1" si="15"/>
        <v>9239</v>
      </c>
      <c r="Y49" s="103">
        <v>68.77</v>
      </c>
      <c r="Z49" s="113">
        <f ca="1">ROUND(IF(ISNUMBER(R49),R49,IF(LEFT(R49,3)="BDI",HLOOKUP(R49,DADOS!$T$37:$X$38,2,FALSE),0)),15-11*$X$5)</f>
        <v>0.21390000000000001</v>
      </c>
      <c r="AA49" s="1"/>
    </row>
    <row r="50" spans="1:27" x14ac:dyDescent="0.2">
      <c r="A50" t="str">
        <f t="shared" si="16"/>
        <v>S</v>
      </c>
      <c r="B50">
        <f t="shared" si="17"/>
        <v>0</v>
      </c>
      <c r="C50">
        <f t="shared" ca="1" si="18"/>
        <v>1</v>
      </c>
      <c r="D50">
        <f t="shared" ca="1" si="19"/>
        <v>3</v>
      </c>
      <c r="E50">
        <f t="shared" ca="1" si="20"/>
        <v>2</v>
      </c>
      <c r="F50">
        <f t="shared" ca="1" si="21"/>
        <v>0</v>
      </c>
      <c r="G50">
        <f t="shared" ca="1" si="22"/>
        <v>4</v>
      </c>
      <c r="H50">
        <f ca="1">IF(OR($A50="S",$A50=0),0,MATCH(0,OFFSET($B50,1,$A50,ROW($A$242)-ROW($A50)),0))</f>
        <v>0</v>
      </c>
      <c r="I50">
        <f ca="1">IF(OR($A50="S",$A50=0),0,MATCH(OFFSET($B50,0,$A50)+1,OFFSET($B50,1,$A50,ROW($A$242)-ROW($A50)),0))</f>
        <v>0</v>
      </c>
      <c r="J50" s="353" t="s">
        <v>103</v>
      </c>
      <c r="K50" s="138" t="str">
        <f t="shared" ca="1" si="23"/>
        <v>1.3.2.0.4.</v>
      </c>
      <c r="L50" s="355" t="s">
        <v>237</v>
      </c>
      <c r="M50" s="355" t="s">
        <v>278</v>
      </c>
      <c r="N50" s="357" t="s">
        <v>479</v>
      </c>
      <c r="O50" s="358" t="s">
        <v>635</v>
      </c>
      <c r="P50" s="359">
        <v>1</v>
      </c>
      <c r="Q50" s="195"/>
      <c r="R50" s="198" t="s">
        <v>7</v>
      </c>
      <c r="S50" s="103">
        <f t="shared" si="13"/>
        <v>0</v>
      </c>
      <c r="T50" s="83">
        <f t="shared" si="14"/>
        <v>0</v>
      </c>
      <c r="U50" s="9" t="str">
        <f t="shared" si="24"/>
        <v>SEM VALOR</v>
      </c>
      <c r="V50" s="1" t="str">
        <f ca="1">IF(OR($A50=0,$A50="S",$A50&gt;CFF!$A$9),"",MAX(V$12:OFFSET(V50,-1,0))+1)</f>
        <v/>
      </c>
      <c r="W50" s="4" t="str">
        <f t="shared" si="25"/>
        <v>PM BENTO-144</v>
      </c>
      <c r="X50" s="1">
        <f t="shared" ca="1" si="15"/>
        <v>72</v>
      </c>
      <c r="Y50" s="103">
        <v>47.4</v>
      </c>
      <c r="Z50" s="113">
        <f ca="1">ROUND(IF(ISNUMBER(R50),R50,IF(LEFT(R50,3)="BDI",HLOOKUP(R50,DADOS!$T$37:$X$38,2,FALSE),0)),15-11*$X$5)</f>
        <v>0.21390000000000001</v>
      </c>
      <c r="AA50" s="1"/>
    </row>
    <row r="51" spans="1:27" x14ac:dyDescent="0.2">
      <c r="A51">
        <f t="shared" si="16"/>
        <v>3</v>
      </c>
      <c r="B51">
        <f t="shared" ca="1" si="17"/>
        <v>3</v>
      </c>
      <c r="C51">
        <f t="shared" ca="1" si="18"/>
        <v>1</v>
      </c>
      <c r="D51">
        <f t="shared" ca="1" si="19"/>
        <v>3</v>
      </c>
      <c r="E51">
        <f t="shared" ca="1" si="20"/>
        <v>3</v>
      </c>
      <c r="F51">
        <f t="shared" ca="1" si="21"/>
        <v>0</v>
      </c>
      <c r="G51">
        <f t="shared" ca="1" si="22"/>
        <v>0</v>
      </c>
      <c r="H51">
        <f ca="1">IF(OR($A51="S",$A51=0),0,MATCH(0,OFFSET($B51,1,$A51,ROW($A$242)-ROW($A51)),0))</f>
        <v>3</v>
      </c>
      <c r="I51">
        <f ca="1">IF(OR($A51="S",$A51=0),0,MATCH(OFFSET($B51,0,$A51)+1,OFFSET($B51,1,$A51,ROW($A$242)-ROW($A51)),0))</f>
        <v>27</v>
      </c>
      <c r="J51" s="353" t="s">
        <v>101</v>
      </c>
      <c r="K51" s="138" t="str">
        <f t="shared" ca="1" si="23"/>
        <v>1.3.3.</v>
      </c>
      <c r="L51" s="355"/>
      <c r="M51" s="355"/>
      <c r="N51" s="357" t="s">
        <v>440</v>
      </c>
      <c r="O51" s="358" t="s">
        <v>106</v>
      </c>
      <c r="P51" s="359"/>
      <c r="Q51" s="195"/>
      <c r="R51" s="198" t="s">
        <v>7</v>
      </c>
      <c r="S51" s="103">
        <f t="shared" si="13"/>
        <v>0</v>
      </c>
      <c r="T51" s="83">
        <f t="shared" ca="1" si="14"/>
        <v>0</v>
      </c>
      <c r="U51" s="9" t="str">
        <f t="shared" ca="1" si="24"/>
        <v>SEM VALOR</v>
      </c>
      <c r="V51" s="1" t="str">
        <f ca="1">IF(OR($A51=0,$A51="S",$A51&gt;CFF!$A$9),"",MAX(V$12:OFFSET(V51,-1,0))+1)</f>
        <v/>
      </c>
      <c r="W51" s="4" t="b">
        <f t="shared" si="25"/>
        <v>0</v>
      </c>
      <c r="X51" s="1" t="str">
        <f t="shared" ca="1" si="15"/>
        <v>X</v>
      </c>
      <c r="Y51" s="103">
        <v>0</v>
      </c>
      <c r="Z51" s="113">
        <f ca="1">ROUND(IF(ISNUMBER(R51),R51,IF(LEFT(R51,3)="BDI",HLOOKUP(R51,DADOS!$T$37:$X$38,2,FALSE),0)),15-11*$X$5)</f>
        <v>0.21390000000000001</v>
      </c>
      <c r="AA51" s="1"/>
    </row>
    <row r="52" spans="1:27" x14ac:dyDescent="0.2">
      <c r="A52" t="str">
        <f t="shared" si="16"/>
        <v>S</v>
      </c>
      <c r="B52">
        <f t="shared" si="17"/>
        <v>0</v>
      </c>
      <c r="C52">
        <f t="shared" ca="1" si="18"/>
        <v>1</v>
      </c>
      <c r="D52">
        <f t="shared" ca="1" si="19"/>
        <v>3</v>
      </c>
      <c r="E52">
        <f t="shared" ca="1" si="20"/>
        <v>3</v>
      </c>
      <c r="F52">
        <f t="shared" ca="1" si="21"/>
        <v>0</v>
      </c>
      <c r="G52">
        <f t="shared" ca="1" si="22"/>
        <v>1</v>
      </c>
      <c r="H52">
        <f ca="1">IF(OR($A52="S",$A52=0),0,MATCH(0,OFFSET($B52,1,$A52,ROW($A$242)-ROW($A52)),0))</f>
        <v>0</v>
      </c>
      <c r="I52">
        <f ca="1">IF(OR($A52="S",$A52=0),0,MATCH(OFFSET($B52,0,$A52)+1,OFFSET($B52,1,$A52,ROW($A$242)-ROW($A52)),0))</f>
        <v>0</v>
      </c>
      <c r="J52" s="353" t="s">
        <v>103</v>
      </c>
      <c r="K52" s="138" t="str">
        <f t="shared" ca="1" si="23"/>
        <v>1.3.3.0.1.</v>
      </c>
      <c r="L52" s="355" t="s">
        <v>231</v>
      </c>
      <c r="M52" s="355" t="s">
        <v>322</v>
      </c>
      <c r="N52" s="357" t="s">
        <v>480</v>
      </c>
      <c r="O52" s="358" t="s">
        <v>628</v>
      </c>
      <c r="P52" s="359">
        <v>27.59</v>
      </c>
      <c r="Q52" s="195"/>
      <c r="R52" s="198" t="s">
        <v>7</v>
      </c>
      <c r="S52" s="103">
        <f t="shared" si="13"/>
        <v>0</v>
      </c>
      <c r="T52" s="83">
        <f t="shared" si="14"/>
        <v>0</v>
      </c>
      <c r="U52" s="9" t="str">
        <f t="shared" si="24"/>
        <v>SEM VALOR</v>
      </c>
      <c r="V52" s="1" t="str">
        <f ca="1">IF(OR($A52=0,$A52="S",$A52&gt;CFF!$A$9),"",MAX(V$12:OFFSET(V52,-1,0))+1)</f>
        <v/>
      </c>
      <c r="W52" s="4" t="str">
        <f t="shared" si="25"/>
        <v>SINAPI-102488</v>
      </c>
      <c r="X52" s="1">
        <f t="shared" ca="1" si="15"/>
        <v>12884</v>
      </c>
      <c r="Y52" s="103">
        <v>4.5</v>
      </c>
      <c r="Z52" s="113">
        <f ca="1">ROUND(IF(ISNUMBER(R52),R52,IF(LEFT(R52,3)="BDI",HLOOKUP(R52,DADOS!$T$37:$X$38,2,FALSE),0)),15-11*$X$5)</f>
        <v>0.21390000000000001</v>
      </c>
      <c r="AA52" s="1"/>
    </row>
    <row r="53" spans="1:27" ht="25.5" x14ac:dyDescent="0.2">
      <c r="A53" t="str">
        <f t="shared" si="16"/>
        <v>S</v>
      </c>
      <c r="B53">
        <f t="shared" si="17"/>
        <v>0</v>
      </c>
      <c r="C53">
        <f t="shared" ca="1" si="18"/>
        <v>1</v>
      </c>
      <c r="D53">
        <f t="shared" ca="1" si="19"/>
        <v>3</v>
      </c>
      <c r="E53">
        <f t="shared" ca="1" si="20"/>
        <v>3</v>
      </c>
      <c r="F53">
        <f t="shared" ca="1" si="21"/>
        <v>0</v>
      </c>
      <c r="G53">
        <f t="shared" ca="1" si="22"/>
        <v>2</v>
      </c>
      <c r="H53">
        <f ca="1">IF(OR($A53="S",$A53=0),0,MATCH(0,OFFSET($B53,1,$A53,ROW($A$242)-ROW($A53)),0))</f>
        <v>0</v>
      </c>
      <c r="I53">
        <f ca="1">IF(OR($A53="S",$A53=0),0,MATCH(OFFSET($B53,0,$A53)+1,OFFSET($B53,1,$A53,ROW($A$242)-ROW($A53)),0))</f>
        <v>0</v>
      </c>
      <c r="J53" s="353" t="s">
        <v>103</v>
      </c>
      <c r="K53" s="138" t="str">
        <f t="shared" ca="1" si="23"/>
        <v>1.3.3.0.2.</v>
      </c>
      <c r="L53" s="355" t="s">
        <v>231</v>
      </c>
      <c r="M53" s="355" t="s">
        <v>323</v>
      </c>
      <c r="N53" s="357" t="s">
        <v>481</v>
      </c>
      <c r="O53" s="358" t="s">
        <v>628</v>
      </c>
      <c r="P53" s="359">
        <v>27.59</v>
      </c>
      <c r="Q53" s="195"/>
      <c r="R53" s="198" t="s">
        <v>7</v>
      </c>
      <c r="S53" s="103">
        <f t="shared" si="13"/>
        <v>0</v>
      </c>
      <c r="T53" s="83">
        <f t="shared" si="14"/>
        <v>0</v>
      </c>
      <c r="U53" s="9" t="str">
        <f t="shared" si="24"/>
        <v>SEM VALOR</v>
      </c>
      <c r="V53" s="1" t="str">
        <f ca="1">IF(OR($A53=0,$A53="S",$A53&gt;CFF!$A$9),"",MAX(V$12:OFFSET(V53,-1,0))+1)</f>
        <v/>
      </c>
      <c r="W53" s="4" t="str">
        <f t="shared" si="25"/>
        <v>SINAPI-102492</v>
      </c>
      <c r="X53" s="1">
        <f t="shared" ca="1" si="15"/>
        <v>12869</v>
      </c>
      <c r="Y53" s="103">
        <v>34.630000000000003</v>
      </c>
      <c r="Z53" s="113">
        <f ca="1">ROUND(IF(ISNUMBER(R53),R53,IF(LEFT(R53,3)="BDI",HLOOKUP(R53,DADOS!$T$37:$X$38,2,FALSE),0)),15-11*$X$5)</f>
        <v>0.21390000000000001</v>
      </c>
      <c r="AA53" s="1"/>
    </row>
    <row r="54" spans="1:27" x14ac:dyDescent="0.2">
      <c r="A54">
        <f t="shared" si="16"/>
        <v>2</v>
      </c>
      <c r="B54">
        <f t="shared" ca="1" si="17"/>
        <v>32</v>
      </c>
      <c r="C54">
        <f t="shared" ca="1" si="18"/>
        <v>1</v>
      </c>
      <c r="D54">
        <f t="shared" ca="1" si="19"/>
        <v>4</v>
      </c>
      <c r="E54">
        <f t="shared" ca="1" si="20"/>
        <v>0</v>
      </c>
      <c r="F54">
        <f t="shared" ca="1" si="21"/>
        <v>0</v>
      </c>
      <c r="G54">
        <f t="shared" ca="1" si="22"/>
        <v>0</v>
      </c>
      <c r="H54">
        <f ca="1">IF(OR($A54="S",$A54=0),0,MATCH(0,OFFSET($B54,1,$A54,ROW($A$242)-ROW($A54)),0))</f>
        <v>188</v>
      </c>
      <c r="I54">
        <f ca="1">IF(OR($A54="S",$A54=0),0,MATCH(OFFSET($B54,0,$A54)+1,OFFSET($B54,1,$A54,ROW($A$242)-ROW($A54)),0))</f>
        <v>32</v>
      </c>
      <c r="J54" s="353" t="s">
        <v>100</v>
      </c>
      <c r="K54" s="138" t="str">
        <f t="shared" ca="1" si="23"/>
        <v>1.4.</v>
      </c>
      <c r="L54" s="355"/>
      <c r="M54" s="355"/>
      <c r="N54" s="357" t="s">
        <v>282</v>
      </c>
      <c r="O54" s="358" t="s">
        <v>106</v>
      </c>
      <c r="P54" s="359"/>
      <c r="Q54" s="195"/>
      <c r="R54" s="198" t="s">
        <v>7</v>
      </c>
      <c r="S54" s="103">
        <f t="shared" si="13"/>
        <v>0</v>
      </c>
      <c r="T54" s="83">
        <f t="shared" ca="1" si="14"/>
        <v>0</v>
      </c>
      <c r="U54" s="9" t="str">
        <f t="shared" ca="1" si="24"/>
        <v>SEM VALOR</v>
      </c>
      <c r="V54" s="1" t="str">
        <f ca="1">IF(OR($A54=0,$A54="S",$A54&gt;CFF!$A$9),"",MAX(V$12:OFFSET(V54,-1,0))+1)</f>
        <v/>
      </c>
      <c r="W54" s="4" t="b">
        <f t="shared" si="25"/>
        <v>0</v>
      </c>
      <c r="X54" s="1" t="str">
        <f t="shared" ca="1" si="15"/>
        <v>X</v>
      </c>
      <c r="Y54" s="103">
        <v>0</v>
      </c>
      <c r="Z54" s="113">
        <f ca="1">ROUND(IF(ISNUMBER(R54),R54,IF(LEFT(R54,3)="BDI",HLOOKUP(R54,DADOS!$T$37:$X$38,2,FALSE),0)),15-11*$X$5)</f>
        <v>0.21390000000000001</v>
      </c>
      <c r="AA54" s="1"/>
    </row>
    <row r="55" spans="1:27" x14ac:dyDescent="0.2">
      <c r="A55">
        <f t="shared" si="16"/>
        <v>3</v>
      </c>
      <c r="B55">
        <f t="shared" ca="1" si="17"/>
        <v>10</v>
      </c>
      <c r="C55">
        <f t="shared" ca="1" si="18"/>
        <v>1</v>
      </c>
      <c r="D55">
        <f t="shared" ca="1" si="19"/>
        <v>4</v>
      </c>
      <c r="E55">
        <f t="shared" ca="1" si="20"/>
        <v>1</v>
      </c>
      <c r="F55">
        <f t="shared" ca="1" si="21"/>
        <v>0</v>
      </c>
      <c r="G55">
        <f t="shared" ca="1" si="22"/>
        <v>0</v>
      </c>
      <c r="H55">
        <f ca="1">IF(OR($A55="S",$A55=0),0,MATCH(0,OFFSET($B55,1,$A55,ROW($A$242)-ROW($A55)),0))</f>
        <v>31</v>
      </c>
      <c r="I55">
        <f ca="1">IF(OR($A55="S",$A55=0),0,MATCH(OFFSET($B55,0,$A55)+1,OFFSET($B55,1,$A55,ROW($A$242)-ROW($A55)),0))</f>
        <v>10</v>
      </c>
      <c r="J55" s="353" t="s">
        <v>101</v>
      </c>
      <c r="K55" s="138" t="str">
        <f t="shared" ca="1" si="23"/>
        <v>1.4.1.</v>
      </c>
      <c r="L55" s="355"/>
      <c r="M55" s="355"/>
      <c r="N55" s="357" t="s">
        <v>446</v>
      </c>
      <c r="O55" s="358" t="s">
        <v>106</v>
      </c>
      <c r="P55" s="359"/>
      <c r="Q55" s="195"/>
      <c r="R55" s="198" t="s">
        <v>7</v>
      </c>
      <c r="S55" s="103">
        <f t="shared" si="13"/>
        <v>0</v>
      </c>
      <c r="T55" s="83">
        <f t="shared" ca="1" si="14"/>
        <v>0</v>
      </c>
      <c r="U55" s="9" t="str">
        <f t="shared" ca="1" si="24"/>
        <v>SEM VALOR</v>
      </c>
      <c r="V55" s="1" t="str">
        <f ca="1">IF(OR($A55=0,$A55="S",$A55&gt;CFF!$A$9),"",MAX(V$12:OFFSET(V55,-1,0))+1)</f>
        <v/>
      </c>
      <c r="W55" s="4" t="b">
        <f t="shared" si="25"/>
        <v>0</v>
      </c>
      <c r="X55" s="1" t="str">
        <f t="shared" ca="1" si="15"/>
        <v>X</v>
      </c>
      <c r="Y55" s="103">
        <v>0</v>
      </c>
      <c r="Z55" s="113">
        <f ca="1">ROUND(IF(ISNUMBER(R55),R55,IF(LEFT(R55,3)="BDI",HLOOKUP(R55,DADOS!$T$37:$X$38,2,FALSE),0)),15-11*$X$5)</f>
        <v>0.21390000000000001</v>
      </c>
      <c r="AA55" s="1"/>
    </row>
    <row r="56" spans="1:27" ht="25.5" x14ac:dyDescent="0.2">
      <c r="A56" t="str">
        <f t="shared" si="16"/>
        <v>S</v>
      </c>
      <c r="B56">
        <f t="shared" si="17"/>
        <v>0</v>
      </c>
      <c r="C56">
        <f t="shared" ca="1" si="18"/>
        <v>1</v>
      </c>
      <c r="D56">
        <f t="shared" ca="1" si="19"/>
        <v>4</v>
      </c>
      <c r="E56">
        <f t="shared" ca="1" si="20"/>
        <v>1</v>
      </c>
      <c r="F56">
        <f t="shared" ca="1" si="21"/>
        <v>0</v>
      </c>
      <c r="G56">
        <f t="shared" ca="1" si="22"/>
        <v>1</v>
      </c>
      <c r="H56">
        <f ca="1">IF(OR($A56="S",$A56=0),0,MATCH(0,OFFSET($B56,1,$A56,ROW($A$242)-ROW($A56)),0))</f>
        <v>0</v>
      </c>
      <c r="I56">
        <f ca="1">IF(OR($A56="S",$A56=0),0,MATCH(OFFSET($B56,0,$A56)+1,OFFSET($B56,1,$A56,ROW($A$242)-ROW($A56)),0))</f>
        <v>0</v>
      </c>
      <c r="J56" s="353" t="s">
        <v>103</v>
      </c>
      <c r="K56" s="138" t="str">
        <f t="shared" ca="1" si="23"/>
        <v>1.4.1.0.1.</v>
      </c>
      <c r="L56" s="356" t="s">
        <v>231</v>
      </c>
      <c r="M56" s="356" t="s">
        <v>283</v>
      </c>
      <c r="N56" s="357" t="s">
        <v>482</v>
      </c>
      <c r="O56" s="358" t="s">
        <v>632</v>
      </c>
      <c r="P56" s="359">
        <v>9.9</v>
      </c>
      <c r="Q56" s="195"/>
      <c r="R56" s="198" t="s">
        <v>7</v>
      </c>
      <c r="S56" s="103">
        <f t="shared" si="13"/>
        <v>0</v>
      </c>
      <c r="T56" s="83">
        <f t="shared" si="14"/>
        <v>0</v>
      </c>
      <c r="U56" s="9" t="str">
        <f t="shared" si="24"/>
        <v>SEM VALOR</v>
      </c>
      <c r="V56" s="1" t="str">
        <f ca="1">IF(OR($A56=0,$A56="S",$A56&gt;CFF!$A$9),"",MAX(V$12:OFFSET(V56,-1,0))+1)</f>
        <v/>
      </c>
      <c r="W56" s="4" t="str">
        <f t="shared" si="25"/>
        <v>SINAPI-94648</v>
      </c>
      <c r="X56" s="1">
        <f t="shared" ca="1" si="15"/>
        <v>9988</v>
      </c>
      <c r="Y56" s="103">
        <v>8.7799999999999994</v>
      </c>
      <c r="Z56" s="113">
        <f ca="1">ROUND(IF(ISNUMBER(R56),R56,IF(LEFT(R56,3)="BDI",HLOOKUP(R56,DADOS!$T$37:$X$38,2,FALSE),0)),15-11*$X$5)</f>
        <v>0.21390000000000001</v>
      </c>
      <c r="AA56" s="1"/>
    </row>
    <row r="57" spans="1:27" ht="25.5" x14ac:dyDescent="0.2">
      <c r="A57" t="str">
        <f t="shared" si="16"/>
        <v>S</v>
      </c>
      <c r="B57">
        <f t="shared" si="17"/>
        <v>0</v>
      </c>
      <c r="C57">
        <f t="shared" ca="1" si="18"/>
        <v>1</v>
      </c>
      <c r="D57">
        <f t="shared" ca="1" si="19"/>
        <v>4</v>
      </c>
      <c r="E57">
        <f t="shared" ca="1" si="20"/>
        <v>1</v>
      </c>
      <c r="F57">
        <f t="shared" ca="1" si="21"/>
        <v>0</v>
      </c>
      <c r="G57">
        <f t="shared" ca="1" si="22"/>
        <v>2</v>
      </c>
      <c r="H57">
        <f ca="1">IF(OR($A57="S",$A57=0),0,MATCH(0,OFFSET($B57,1,$A57,ROW($A$242)-ROW($A57)),0))</f>
        <v>0</v>
      </c>
      <c r="I57">
        <f ca="1">IF(OR($A57="S",$A57=0),0,MATCH(OFFSET($B57,0,$A57)+1,OFFSET($B57,1,$A57,ROW($A$242)-ROW($A57)),0))</f>
        <v>0</v>
      </c>
      <c r="J57" s="353" t="s">
        <v>103</v>
      </c>
      <c r="K57" s="138" t="str">
        <f t="shared" ca="1" si="23"/>
        <v>1.4.1.0.2.</v>
      </c>
      <c r="L57" s="356" t="s">
        <v>231</v>
      </c>
      <c r="M57" s="356" t="s">
        <v>284</v>
      </c>
      <c r="N57" s="357" t="s">
        <v>483</v>
      </c>
      <c r="O57" s="358" t="s">
        <v>629</v>
      </c>
      <c r="P57" s="359">
        <v>1</v>
      </c>
      <c r="Q57" s="195"/>
      <c r="R57" s="198" t="s">
        <v>7</v>
      </c>
      <c r="S57" s="103">
        <f t="shared" si="13"/>
        <v>0</v>
      </c>
      <c r="T57" s="83">
        <f t="shared" si="14"/>
        <v>0</v>
      </c>
      <c r="U57" s="9" t="str">
        <f t="shared" si="24"/>
        <v>SEM VALOR</v>
      </c>
      <c r="V57" s="1" t="str">
        <f ca="1">IF(OR($A57=0,$A57="S",$A57&gt;CFF!$A$9),"",MAX(V$12:OFFSET(V57,-1,0))+1)</f>
        <v/>
      </c>
      <c r="W57" s="4" t="str">
        <f t="shared" si="25"/>
        <v>SINAPI-94688</v>
      </c>
      <c r="X57" s="1">
        <f t="shared" ca="1" si="15"/>
        <v>10015</v>
      </c>
      <c r="Y57" s="103">
        <v>8.83</v>
      </c>
      <c r="Z57" s="113">
        <f ca="1">ROUND(IF(ISNUMBER(R57),R57,IF(LEFT(R57,3)="BDI",HLOOKUP(R57,DADOS!$T$37:$X$38,2,FALSE),0)),15-11*$X$5)</f>
        <v>0.21390000000000001</v>
      </c>
      <c r="AA57" s="1"/>
    </row>
    <row r="58" spans="1:27" ht="25.5" x14ac:dyDescent="0.2">
      <c r="A58" t="str">
        <f t="shared" si="16"/>
        <v>S</v>
      </c>
      <c r="B58">
        <f t="shared" si="17"/>
        <v>0</v>
      </c>
      <c r="C58">
        <f t="shared" ca="1" si="18"/>
        <v>1</v>
      </c>
      <c r="D58">
        <f t="shared" ca="1" si="19"/>
        <v>4</v>
      </c>
      <c r="E58">
        <f t="shared" ca="1" si="20"/>
        <v>1</v>
      </c>
      <c r="F58">
        <f t="shared" ca="1" si="21"/>
        <v>0</v>
      </c>
      <c r="G58">
        <f t="shared" ca="1" si="22"/>
        <v>3</v>
      </c>
      <c r="H58">
        <f ca="1">IF(OR($A58="S",$A58=0),0,MATCH(0,OFFSET($B58,1,$A58,ROW($A$242)-ROW($A58)),0))</f>
        <v>0</v>
      </c>
      <c r="I58">
        <f ca="1">IF(OR($A58="S",$A58=0),0,MATCH(OFFSET($B58,0,$A58)+1,OFFSET($B58,1,$A58,ROW($A$242)-ROW($A58)),0))</f>
        <v>0</v>
      </c>
      <c r="J58" s="353" t="s">
        <v>103</v>
      </c>
      <c r="K58" s="138" t="str">
        <f t="shared" ca="1" si="23"/>
        <v>1.4.1.0.3.</v>
      </c>
      <c r="L58" s="356" t="s">
        <v>231</v>
      </c>
      <c r="M58" s="356" t="s">
        <v>285</v>
      </c>
      <c r="N58" s="357" t="s">
        <v>484</v>
      </c>
      <c r="O58" s="358" t="s">
        <v>629</v>
      </c>
      <c r="P58" s="359">
        <v>11</v>
      </c>
      <c r="Q58" s="195"/>
      <c r="R58" s="198" t="s">
        <v>7</v>
      </c>
      <c r="S58" s="103">
        <f t="shared" si="13"/>
        <v>0</v>
      </c>
      <c r="T58" s="83">
        <f t="shared" si="14"/>
        <v>0</v>
      </c>
      <c r="U58" s="9" t="str">
        <f t="shared" si="24"/>
        <v>SEM VALOR</v>
      </c>
      <c r="V58" s="1" t="str">
        <f ca="1">IF(OR($A58=0,$A58="S",$A58&gt;CFF!$A$9),"",MAX(V$12:OFFSET(V58,-1,0))+1)</f>
        <v/>
      </c>
      <c r="W58" s="4" t="str">
        <f t="shared" si="25"/>
        <v>SINAPI-94673</v>
      </c>
      <c r="X58" s="1">
        <f t="shared" ca="1" si="15"/>
        <v>9820</v>
      </c>
      <c r="Y58" s="103">
        <v>9.18</v>
      </c>
      <c r="Z58" s="113">
        <f ca="1">ROUND(IF(ISNUMBER(R58),R58,IF(LEFT(R58,3)="BDI",HLOOKUP(R58,DADOS!$T$37:$X$38,2,FALSE),0)),15-11*$X$5)</f>
        <v>0.21390000000000001</v>
      </c>
      <c r="AA58" s="1"/>
    </row>
    <row r="59" spans="1:27" ht="25.5" x14ac:dyDescent="0.2">
      <c r="A59" t="str">
        <f t="shared" si="16"/>
        <v>S</v>
      </c>
      <c r="B59">
        <f t="shared" si="17"/>
        <v>0</v>
      </c>
      <c r="C59">
        <f t="shared" ca="1" si="18"/>
        <v>1</v>
      </c>
      <c r="D59">
        <f t="shared" ca="1" si="19"/>
        <v>4</v>
      </c>
      <c r="E59">
        <f t="shared" ca="1" si="20"/>
        <v>1</v>
      </c>
      <c r="F59">
        <f t="shared" ca="1" si="21"/>
        <v>0</v>
      </c>
      <c r="G59">
        <f t="shared" ca="1" si="22"/>
        <v>4</v>
      </c>
      <c r="H59">
        <f ca="1">IF(OR($A59="S",$A59=0),0,MATCH(0,OFFSET($B59,1,$A59,ROW($A$242)-ROW($A59)),0))</f>
        <v>0</v>
      </c>
      <c r="I59">
        <f ca="1">IF(OR($A59="S",$A59=0),0,MATCH(OFFSET($B59,0,$A59)+1,OFFSET($B59,1,$A59,ROW($A$242)-ROW($A59)),0))</f>
        <v>0</v>
      </c>
      <c r="J59" s="353" t="s">
        <v>103</v>
      </c>
      <c r="K59" s="138" t="str">
        <f t="shared" ca="1" si="23"/>
        <v>1.4.1.0.4.</v>
      </c>
      <c r="L59" s="356" t="s">
        <v>231</v>
      </c>
      <c r="M59" s="356" t="s">
        <v>290</v>
      </c>
      <c r="N59" s="357" t="s">
        <v>485</v>
      </c>
      <c r="O59" s="358" t="s">
        <v>629</v>
      </c>
      <c r="P59" s="359">
        <v>6</v>
      </c>
      <c r="Q59" s="195"/>
      <c r="R59" s="198" t="s">
        <v>7</v>
      </c>
      <c r="S59" s="103">
        <f t="shared" si="13"/>
        <v>0</v>
      </c>
      <c r="T59" s="83">
        <f t="shared" si="14"/>
        <v>0</v>
      </c>
      <c r="U59" s="9" t="str">
        <f t="shared" si="24"/>
        <v>SEM VALOR</v>
      </c>
      <c r="V59" s="1" t="str">
        <f ca="1">IF(OR($A59=0,$A59="S",$A59&gt;CFF!$A$9),"",MAX(V$12:OFFSET(V59,-1,0))+1)</f>
        <v/>
      </c>
      <c r="W59" s="4" t="str">
        <f t="shared" si="25"/>
        <v>SINAPI-105154</v>
      </c>
      <c r="X59" s="1">
        <f t="shared" ca="1" si="15"/>
        <v>9833</v>
      </c>
      <c r="Y59" s="103">
        <v>8.4700000000000006</v>
      </c>
      <c r="Z59" s="113">
        <f ca="1">ROUND(IF(ISNUMBER(R59),R59,IF(LEFT(R59,3)="BDI",HLOOKUP(R59,DADOS!$T$37:$X$38,2,FALSE),0)),15-11*$X$5)</f>
        <v>0.21390000000000001</v>
      </c>
      <c r="AA59" s="1"/>
    </row>
    <row r="60" spans="1:27" ht="25.5" x14ac:dyDescent="0.2">
      <c r="A60" t="str">
        <f t="shared" si="16"/>
        <v>S</v>
      </c>
      <c r="B60">
        <f t="shared" si="17"/>
        <v>0</v>
      </c>
      <c r="C60">
        <f t="shared" ca="1" si="18"/>
        <v>1</v>
      </c>
      <c r="D60">
        <f t="shared" ca="1" si="19"/>
        <v>4</v>
      </c>
      <c r="E60">
        <f t="shared" ca="1" si="20"/>
        <v>1</v>
      </c>
      <c r="F60">
        <f t="shared" ca="1" si="21"/>
        <v>0</v>
      </c>
      <c r="G60">
        <f t="shared" ca="1" si="22"/>
        <v>5</v>
      </c>
      <c r="H60">
        <f ca="1">IF(OR($A60="S",$A60=0),0,MATCH(0,OFFSET($B60,1,$A60,ROW($A$242)-ROW($A60)),0))</f>
        <v>0</v>
      </c>
      <c r="I60">
        <f ca="1">IF(OR($A60="S",$A60=0),0,MATCH(OFFSET($B60,0,$A60)+1,OFFSET($B60,1,$A60,ROW($A$242)-ROW($A60)),0))</f>
        <v>0</v>
      </c>
      <c r="J60" s="353" t="s">
        <v>103</v>
      </c>
      <c r="K60" s="138" t="str">
        <f t="shared" ca="1" si="23"/>
        <v>1.4.1.0.5.</v>
      </c>
      <c r="L60" s="356" t="s">
        <v>231</v>
      </c>
      <c r="M60" s="356" t="s">
        <v>286</v>
      </c>
      <c r="N60" s="357" t="s">
        <v>486</v>
      </c>
      <c r="O60" s="358" t="s">
        <v>629</v>
      </c>
      <c r="P60" s="359">
        <v>2</v>
      </c>
      <c r="Q60" s="195"/>
      <c r="R60" s="198" t="s">
        <v>7</v>
      </c>
      <c r="S60" s="103">
        <f t="shared" si="13"/>
        <v>0</v>
      </c>
      <c r="T60" s="83">
        <f t="shared" si="14"/>
        <v>0</v>
      </c>
      <c r="U60" s="9" t="str">
        <f t="shared" si="24"/>
        <v>SEM VALOR</v>
      </c>
      <c r="V60" s="1" t="str">
        <f ca="1">IF(OR($A60=0,$A60="S",$A60&gt;CFF!$A$9),"",MAX(V$12:OFFSET(V60,-1,0))+1)</f>
        <v/>
      </c>
      <c r="W60" s="4" t="str">
        <f t="shared" si="25"/>
        <v>SINAPI-94489</v>
      </c>
      <c r="X60" s="1">
        <f t="shared" ca="1" si="15"/>
        <v>14482</v>
      </c>
      <c r="Y60" s="103">
        <v>47.92</v>
      </c>
      <c r="Z60" s="113">
        <f ca="1">ROUND(IF(ISNUMBER(R60),R60,IF(LEFT(R60,3)="BDI",HLOOKUP(R60,DADOS!$T$37:$X$38,2,FALSE),0)),15-11*$X$5)</f>
        <v>0.21390000000000001</v>
      </c>
      <c r="AA60" s="1"/>
    </row>
    <row r="61" spans="1:27" ht="25.5" x14ac:dyDescent="0.2">
      <c r="A61" t="str">
        <f t="shared" si="16"/>
        <v>S</v>
      </c>
      <c r="B61">
        <f t="shared" si="17"/>
        <v>0</v>
      </c>
      <c r="C61">
        <f t="shared" ca="1" si="18"/>
        <v>1</v>
      </c>
      <c r="D61">
        <f t="shared" ca="1" si="19"/>
        <v>4</v>
      </c>
      <c r="E61">
        <f t="shared" ca="1" si="20"/>
        <v>1</v>
      </c>
      <c r="F61">
        <f t="shared" ca="1" si="21"/>
        <v>0</v>
      </c>
      <c r="G61">
        <f t="shared" ca="1" si="22"/>
        <v>6</v>
      </c>
      <c r="H61">
        <f ca="1">IF(OR($A61="S",$A61=0),0,MATCH(0,OFFSET($B61,1,$A61,ROW($A$242)-ROW($A61)),0))</f>
        <v>0</v>
      </c>
      <c r="I61">
        <f ca="1">IF(OR($A61="S",$A61=0),0,MATCH(OFFSET($B61,0,$A61)+1,OFFSET($B61,1,$A61,ROW($A$242)-ROW($A61)),0))</f>
        <v>0</v>
      </c>
      <c r="J61" s="353" t="s">
        <v>103</v>
      </c>
      <c r="K61" s="138" t="str">
        <f t="shared" ca="1" si="23"/>
        <v>1.4.1.0.6.</v>
      </c>
      <c r="L61" s="356" t="s">
        <v>231</v>
      </c>
      <c r="M61" s="356" t="s">
        <v>287</v>
      </c>
      <c r="N61" s="357" t="s">
        <v>487</v>
      </c>
      <c r="O61" s="358" t="s">
        <v>629</v>
      </c>
      <c r="P61" s="359">
        <v>2</v>
      </c>
      <c r="Q61" s="195"/>
      <c r="R61" s="198" t="s">
        <v>7</v>
      </c>
      <c r="S61" s="103">
        <f t="shared" si="13"/>
        <v>0</v>
      </c>
      <c r="T61" s="83">
        <f t="shared" si="14"/>
        <v>0</v>
      </c>
      <c r="U61" s="9" t="str">
        <f t="shared" si="24"/>
        <v>SEM VALOR</v>
      </c>
      <c r="V61" s="1" t="str">
        <f ca="1">IF(OR($A61=0,$A61="S",$A61&gt;CFF!$A$9),"",MAX(V$12:OFFSET(V61,-1,0))+1)</f>
        <v/>
      </c>
      <c r="W61" s="4" t="str">
        <f t="shared" si="25"/>
        <v>SINAPI-94703</v>
      </c>
      <c r="X61" s="1">
        <f t="shared" ca="1" si="15"/>
        <v>9728</v>
      </c>
      <c r="Y61" s="103">
        <v>25.76</v>
      </c>
      <c r="Z61" s="113">
        <f ca="1">ROUND(IF(ISNUMBER(R61),R61,IF(LEFT(R61,3)="BDI",HLOOKUP(R61,DADOS!$T$37:$X$38,2,FALSE),0)),15-11*$X$5)</f>
        <v>0.21390000000000001</v>
      </c>
      <c r="AA61" s="1"/>
    </row>
    <row r="62" spans="1:27" x14ac:dyDescent="0.2">
      <c r="A62" t="str">
        <f t="shared" si="16"/>
        <v>S</v>
      </c>
      <c r="B62">
        <f t="shared" si="17"/>
        <v>0</v>
      </c>
      <c r="C62">
        <f t="shared" ca="1" si="18"/>
        <v>1</v>
      </c>
      <c r="D62">
        <f t="shared" ca="1" si="19"/>
        <v>4</v>
      </c>
      <c r="E62">
        <f t="shared" ca="1" si="20"/>
        <v>1</v>
      </c>
      <c r="F62">
        <f t="shared" ca="1" si="21"/>
        <v>0</v>
      </c>
      <c r="G62">
        <f t="shared" ca="1" si="22"/>
        <v>7</v>
      </c>
      <c r="H62">
        <f ca="1">IF(OR($A62="S",$A62=0),0,MATCH(0,OFFSET($B62,1,$A62,ROW($A$242)-ROW($A62)),0))</f>
        <v>0</v>
      </c>
      <c r="I62">
        <f ca="1">IF(OR($A62="S",$A62=0),0,MATCH(OFFSET($B62,0,$A62)+1,OFFSET($B62,1,$A62,ROW($A$242)-ROW($A62)),0))</f>
        <v>0</v>
      </c>
      <c r="J62" s="353" t="s">
        <v>103</v>
      </c>
      <c r="K62" s="138" t="str">
        <f t="shared" ca="1" si="23"/>
        <v>1.4.1.0.7.</v>
      </c>
      <c r="L62" s="356" t="s">
        <v>231</v>
      </c>
      <c r="M62" s="356" t="s">
        <v>288</v>
      </c>
      <c r="N62" s="357" t="s">
        <v>488</v>
      </c>
      <c r="O62" s="358" t="s">
        <v>629</v>
      </c>
      <c r="P62" s="359">
        <v>2</v>
      </c>
      <c r="Q62" s="195"/>
      <c r="R62" s="198" t="s">
        <v>7</v>
      </c>
      <c r="S62" s="103">
        <f t="shared" si="13"/>
        <v>0</v>
      </c>
      <c r="T62" s="83">
        <f t="shared" si="14"/>
        <v>0</v>
      </c>
      <c r="U62" s="9" t="str">
        <f t="shared" si="24"/>
        <v>SEM VALOR</v>
      </c>
      <c r="V62" s="1" t="str">
        <f ca="1">IF(OR($A62=0,$A62="S",$A62&gt;CFF!$A$9),"",MAX(V$12:OFFSET(V62,-1,0))+1)</f>
        <v/>
      </c>
      <c r="W62" s="4" t="str">
        <f t="shared" si="25"/>
        <v>SINAPI-94796</v>
      </c>
      <c r="X62" s="1">
        <f t="shared" ca="1" si="15"/>
        <v>14519</v>
      </c>
      <c r="Y62" s="103">
        <v>85.62</v>
      </c>
      <c r="Z62" s="113">
        <f ca="1">ROUND(IF(ISNUMBER(R62),R62,IF(LEFT(R62,3)="BDI",HLOOKUP(R62,DADOS!$T$37:$X$38,2,FALSE),0)),15-11*$X$5)</f>
        <v>0.21390000000000001</v>
      </c>
      <c r="AA62" s="1"/>
    </row>
    <row r="63" spans="1:27" ht="25.5" x14ac:dyDescent="0.2">
      <c r="A63" t="str">
        <f t="shared" si="16"/>
        <v>S</v>
      </c>
      <c r="B63">
        <f t="shared" si="17"/>
        <v>0</v>
      </c>
      <c r="C63">
        <f t="shared" ca="1" si="18"/>
        <v>1</v>
      </c>
      <c r="D63">
        <f t="shared" ca="1" si="19"/>
        <v>4</v>
      </c>
      <c r="E63">
        <f t="shared" ca="1" si="20"/>
        <v>1</v>
      </c>
      <c r="F63">
        <f t="shared" ca="1" si="21"/>
        <v>0</v>
      </c>
      <c r="G63">
        <f t="shared" ca="1" si="22"/>
        <v>8</v>
      </c>
      <c r="H63">
        <f ca="1">IF(OR($A63="S",$A63=0),0,MATCH(0,OFFSET($B63,1,$A63,ROW($A$242)-ROW($A63)),0))</f>
        <v>0</v>
      </c>
      <c r="I63">
        <f ca="1">IF(OR($A63="S",$A63=0),0,MATCH(OFFSET($B63,0,$A63)+1,OFFSET($B63,1,$A63,ROW($A$242)-ROW($A63)),0))</f>
        <v>0</v>
      </c>
      <c r="J63" s="353" t="s">
        <v>103</v>
      </c>
      <c r="K63" s="138" t="str">
        <f t="shared" ca="1" si="23"/>
        <v>1.4.1.0.8.</v>
      </c>
      <c r="L63" s="356" t="s">
        <v>236</v>
      </c>
      <c r="M63" s="356" t="s">
        <v>352</v>
      </c>
      <c r="N63" s="357" t="s">
        <v>489</v>
      </c>
      <c r="O63" s="358" t="s">
        <v>628</v>
      </c>
      <c r="P63" s="359">
        <v>2</v>
      </c>
      <c r="Q63" s="195"/>
      <c r="R63" s="198" t="s">
        <v>7</v>
      </c>
      <c r="S63" s="103">
        <f t="shared" si="13"/>
        <v>0</v>
      </c>
      <c r="T63" s="83">
        <f t="shared" si="14"/>
        <v>0</v>
      </c>
      <c r="U63" s="9" t="str">
        <f t="shared" si="24"/>
        <v>SEM VALOR</v>
      </c>
      <c r="V63" s="1" t="str">
        <f ca="1">IF(OR($A63=0,$A63="S",$A63&gt;CFF!$A$9),"",MAX(V$12:OFFSET(V63,-1,0))+1)</f>
        <v/>
      </c>
      <c r="W63" s="4" t="str">
        <f t="shared" si="25"/>
        <v>SINAPI-I-3409</v>
      </c>
      <c r="X63" s="1">
        <f t="shared" ca="1" si="15"/>
        <v>3517</v>
      </c>
      <c r="Y63" s="103">
        <v>52.34</v>
      </c>
      <c r="Z63" s="113">
        <f ca="1">ROUND(IF(ISNUMBER(R63),R63,IF(LEFT(R63,3)="BDI",HLOOKUP(R63,DADOS!$T$37:$X$38,2,FALSE),0)),15-11*$X$5)</f>
        <v>0.21390000000000001</v>
      </c>
      <c r="AA63" s="1"/>
    </row>
    <row r="64" spans="1:27" x14ac:dyDescent="0.2">
      <c r="A64" t="str">
        <f>CHOOSE(1+LOG(1+2*(J64="Meta")+4*(J64="Nível 2")+8*(J64="Nível 3")+16*(J64="Nível 4")+32*(J64="Serviço"),2),0,1,2,3,4,"S")</f>
        <v>S</v>
      </c>
      <c r="B64">
        <f>IF(OR(A64="S",A64=0),0,IF(ISERROR(I64),H64,SMALL(H64:I64,1)))</f>
        <v>0</v>
      </c>
      <c r="C64">
        <f ca="1">IF($A64=1,OFFSET(C64,-1,0)+1,OFFSET(C64,-1,0))</f>
        <v>1</v>
      </c>
      <c r="D64">
        <f ca="1">IF($A64=1,0,IF($A64=2,OFFSET(D64,-1,0)+1,OFFSET(D64,-1,0)))</f>
        <v>4</v>
      </c>
      <c r="E64">
        <f ca="1">IF(AND($A64&lt;=2,$A64&lt;&gt;0),0,IF($A64=3,OFFSET(E64,-1,0)+1,OFFSET(E64,-1,0)))</f>
        <v>1</v>
      </c>
      <c r="F64">
        <f ca="1">IF(AND($A64&lt;=3,$A64&lt;&gt;0),0,IF($A64=4,OFFSET(F64,-1,0)+1,OFFSET(F64,-1,0)))</f>
        <v>0</v>
      </c>
      <c r="G64">
        <f ca="1">IF(AND($A64&lt;=4,$A64&lt;&gt;0),0,IF($A64="S",OFFSET(G64,-1,0)+1,OFFSET(G64,-1,0)))</f>
        <v>9</v>
      </c>
      <c r="H64">
        <f ca="1">IF(OR($A64="S",$A64=0),0,MATCH(0,OFFSET($B64,1,$A64,ROW($A$242)-ROW($A64)),0))</f>
        <v>0</v>
      </c>
      <c r="I64">
        <f ca="1">IF(OR($A64="S",$A64=0),0,MATCH(OFFSET($B64,0,$A64)+1,OFFSET($B64,1,$A64,ROW($A$242)-ROW($A64)),0))</f>
        <v>0</v>
      </c>
      <c r="J64" s="353" t="s">
        <v>103</v>
      </c>
      <c r="K64" s="138" t="str">
        <f ca="1">IF($A64=0,"-",CONCATENATE(C64&amp;".",IF(AND($A$5&gt;=2,$A64&gt;=2),D64&amp;".",""),IF(AND($A$5&gt;=3,$A64&gt;=3),E64&amp;".",""),IF(AND($A$5&gt;=4,$A64&gt;=4),F64&amp;".",""),IF($A64="S",G64&amp;".","")))</f>
        <v>1.4.1.0.9.</v>
      </c>
      <c r="L64" s="355" t="s">
        <v>231</v>
      </c>
      <c r="M64" s="356" t="s">
        <v>289</v>
      </c>
      <c r="N64" s="357" t="s">
        <v>490</v>
      </c>
      <c r="O64" s="358" t="s">
        <v>629</v>
      </c>
      <c r="P64" s="359">
        <v>2</v>
      </c>
      <c r="Q64" s="195"/>
      <c r="R64" s="198" t="s">
        <v>7</v>
      </c>
      <c r="S64" s="103">
        <f>IF($A64="S",IF($Q$10="Preço Unitário (R$)",PO.CustoUnitario,ROUND(PO.CustoUnitario*(1+$Z64),15-13*$X$6)),0)</f>
        <v>0</v>
      </c>
      <c r="T64" s="83">
        <f>IF($A64="S",VTOTAL1,IF($A64=0,0,ROUND(SomaAgrup,15-13*$X$7)))</f>
        <v>0</v>
      </c>
      <c r="U64" s="9" t="str">
        <f>IF($J64="","",IF($N64="","DESCRIÇÃO",IF(AND($J64="Serviço",$O64=""),"UNIDADE",IF($T64&lt;=0,"SEM VALOR",IF(AND($Y64&lt;&gt;"",$Q64&gt;$Y64),"ACIMA REF.","")))))</f>
        <v>SEM VALOR</v>
      </c>
      <c r="V64" s="1" t="str">
        <f ca="1">IF(OR($A64=0,$A64="S",$A64&gt;CFF!$A$9),"",MAX(V$12:OFFSET(V64,-1,0))+1)</f>
        <v/>
      </c>
      <c r="W64" s="4" t="str">
        <f>IF(AND($J64="Serviço",$M64&lt;&gt;""),IF($L64="",$M64,CONCATENATE($L64,"-",$M64)))</f>
        <v>SINAPI-102605</v>
      </c>
      <c r="X64" s="1">
        <f ca="1">IF(AND(Fonte&lt;&gt;"",Código&lt;&gt;""),MATCH(Fonte&amp;" "&amp;IF(Fonte="sinapi",SUBSTITUTE(SUBSTITUTE(Código,"/00","/"),"/0","/"),Código),INDIRECT("'[Referência "&amp;_xlnm.Database&amp;".xls]Banco'!$a:$a"),0),"X")</f>
        <v>6098</v>
      </c>
      <c r="Y64" s="103">
        <v>346.9</v>
      </c>
      <c r="Z64" s="113">
        <f ca="1">ROUND(IF(ISNUMBER(R64),R64,IF(LEFT(R64,3)="BDI",HLOOKUP(R64,DADOS!$T$37:$X$38,2,FALSE),0)),15-11*$X$5)</f>
        <v>0.21390000000000001</v>
      </c>
      <c r="AA64" s="1"/>
    </row>
    <row r="65" spans="1:27" x14ac:dyDescent="0.2">
      <c r="A65">
        <f t="shared" si="16"/>
        <v>3</v>
      </c>
      <c r="B65">
        <f t="shared" ca="1" si="17"/>
        <v>7</v>
      </c>
      <c r="C65">
        <f t="shared" ca="1" si="18"/>
        <v>1</v>
      </c>
      <c r="D65">
        <f t="shared" ca="1" si="19"/>
        <v>4</v>
      </c>
      <c r="E65">
        <f t="shared" ca="1" si="20"/>
        <v>2</v>
      </c>
      <c r="F65">
        <f t="shared" ca="1" si="21"/>
        <v>0</v>
      </c>
      <c r="G65">
        <f t="shared" ca="1" si="22"/>
        <v>0</v>
      </c>
      <c r="H65">
        <f ca="1">IF(OR($A65="S",$A65=0),0,MATCH(0,OFFSET($B65,1,$A65,ROW($A$242)-ROW($A65)),0))</f>
        <v>21</v>
      </c>
      <c r="I65">
        <f ca="1">IF(OR($A65="S",$A65=0),0,MATCH(OFFSET($B65,0,$A65)+1,OFFSET($B65,1,$A65,ROW($A$242)-ROW($A65)),0))</f>
        <v>7</v>
      </c>
      <c r="J65" s="353" t="s">
        <v>101</v>
      </c>
      <c r="K65" s="138" t="str">
        <f t="shared" ca="1" si="23"/>
        <v>1.4.2.</v>
      </c>
      <c r="L65" s="355"/>
      <c r="M65" s="355"/>
      <c r="N65" s="357" t="s">
        <v>447</v>
      </c>
      <c r="O65" s="358" t="s">
        <v>106</v>
      </c>
      <c r="P65" s="359"/>
      <c r="Q65" s="195"/>
      <c r="R65" s="198" t="s">
        <v>7</v>
      </c>
      <c r="S65" s="103">
        <f t="shared" si="13"/>
        <v>0</v>
      </c>
      <c r="T65" s="83">
        <f t="shared" ca="1" si="14"/>
        <v>0</v>
      </c>
      <c r="U65" s="9" t="str">
        <f t="shared" ca="1" si="24"/>
        <v>SEM VALOR</v>
      </c>
      <c r="V65" s="1" t="str">
        <f ca="1">IF(OR($A65=0,$A65="S",$A65&gt;CFF!$A$9),"",MAX(V$12:OFFSET(V65,-1,0))+1)</f>
        <v/>
      </c>
      <c r="W65" s="4" t="b">
        <f t="shared" si="25"/>
        <v>0</v>
      </c>
      <c r="X65" s="1" t="str">
        <f t="shared" ca="1" si="15"/>
        <v>X</v>
      </c>
      <c r="Y65" s="103">
        <v>0</v>
      </c>
      <c r="Z65" s="113">
        <f ca="1">ROUND(IF(ISNUMBER(R65),R65,IF(LEFT(R65,3)="BDI",HLOOKUP(R65,DADOS!$T$37:$X$38,2,FALSE),0)),15-11*$X$5)</f>
        <v>0.21390000000000001</v>
      </c>
      <c r="AA65" s="1"/>
    </row>
    <row r="66" spans="1:27" ht="25.5" x14ac:dyDescent="0.2">
      <c r="A66" t="str">
        <f t="shared" si="16"/>
        <v>S</v>
      </c>
      <c r="B66">
        <f t="shared" si="17"/>
        <v>0</v>
      </c>
      <c r="C66">
        <f t="shared" ca="1" si="18"/>
        <v>1</v>
      </c>
      <c r="D66">
        <f t="shared" ca="1" si="19"/>
        <v>4</v>
      </c>
      <c r="E66">
        <f t="shared" ca="1" si="20"/>
        <v>2</v>
      </c>
      <c r="F66">
        <f t="shared" ca="1" si="21"/>
        <v>0</v>
      </c>
      <c r="G66">
        <f t="shared" ca="1" si="22"/>
        <v>1</v>
      </c>
      <c r="H66">
        <f ca="1">IF(OR($A66="S",$A66=0),0,MATCH(0,OFFSET($B66,1,$A66,ROW($A$242)-ROW($A66)),0))</f>
        <v>0</v>
      </c>
      <c r="I66">
        <f ca="1">IF(OR($A66="S",$A66=0),0,MATCH(OFFSET($B66,0,$A66)+1,OFFSET($B66,1,$A66,ROW($A$242)-ROW($A66)),0))</f>
        <v>0</v>
      </c>
      <c r="J66" s="353" t="s">
        <v>103</v>
      </c>
      <c r="K66" s="138" t="str">
        <f t="shared" ca="1" si="23"/>
        <v>1.4.2.0.1.</v>
      </c>
      <c r="L66" s="356" t="s">
        <v>231</v>
      </c>
      <c r="M66" s="356" t="s">
        <v>291</v>
      </c>
      <c r="N66" s="357" t="s">
        <v>491</v>
      </c>
      <c r="O66" s="358" t="s">
        <v>629</v>
      </c>
      <c r="P66" s="359">
        <v>4</v>
      </c>
      <c r="Q66" s="195"/>
      <c r="R66" s="198" t="s">
        <v>7</v>
      </c>
      <c r="S66" s="103">
        <f t="shared" si="13"/>
        <v>0</v>
      </c>
      <c r="T66" s="83">
        <f t="shared" si="14"/>
        <v>0</v>
      </c>
      <c r="U66" s="9" t="str">
        <f t="shared" si="24"/>
        <v>SEM VALOR</v>
      </c>
      <c r="V66" s="1" t="str">
        <f ca="1">IF(OR($A66=0,$A66="S",$A66&gt;CFF!$A$9),"",MAX(V$12:OFFSET(V66,-1,0))+1)</f>
        <v/>
      </c>
      <c r="W66" s="4" t="str">
        <f t="shared" si="25"/>
        <v>SINAPI-94704</v>
      </c>
      <c r="X66" s="1">
        <f t="shared" ca="1" si="15"/>
        <v>9729</v>
      </c>
      <c r="Y66" s="103">
        <v>34.549999999999997</v>
      </c>
      <c r="Z66" s="113">
        <f ca="1">ROUND(IF(ISNUMBER(R66),R66,IF(LEFT(R66,3)="BDI",HLOOKUP(R66,DADOS!$T$37:$X$38,2,FALSE),0)),15-11*$X$5)</f>
        <v>0.21390000000000001</v>
      </c>
      <c r="AA66" s="1"/>
    </row>
    <row r="67" spans="1:27" ht="25.5" x14ac:dyDescent="0.2">
      <c r="A67" t="str">
        <f t="shared" si="16"/>
        <v>S</v>
      </c>
      <c r="B67">
        <f t="shared" si="17"/>
        <v>0</v>
      </c>
      <c r="C67">
        <f t="shared" ca="1" si="18"/>
        <v>1</v>
      </c>
      <c r="D67">
        <f t="shared" ca="1" si="19"/>
        <v>4</v>
      </c>
      <c r="E67">
        <f t="shared" ca="1" si="20"/>
        <v>2</v>
      </c>
      <c r="F67">
        <f t="shared" ca="1" si="21"/>
        <v>0</v>
      </c>
      <c r="G67">
        <f t="shared" ca="1" si="22"/>
        <v>2</v>
      </c>
      <c r="H67">
        <f ca="1">IF(OR($A67="S",$A67=0),0,MATCH(0,OFFSET($B67,1,$A67,ROW($A$242)-ROW($A67)),0))</f>
        <v>0</v>
      </c>
      <c r="I67">
        <f ca="1">IF(OR($A67="S",$A67=0),0,MATCH(OFFSET($B67,0,$A67)+1,OFFSET($B67,1,$A67,ROW($A$242)-ROW($A67)),0))</f>
        <v>0</v>
      </c>
      <c r="J67" s="353" t="s">
        <v>103</v>
      </c>
      <c r="K67" s="138" t="str">
        <f t="shared" ca="1" si="23"/>
        <v>1.4.2.0.2.</v>
      </c>
      <c r="L67" s="356" t="s">
        <v>231</v>
      </c>
      <c r="M67" s="356" t="s">
        <v>292</v>
      </c>
      <c r="N67" s="357" t="s">
        <v>492</v>
      </c>
      <c r="O67" s="358" t="s">
        <v>629</v>
      </c>
      <c r="P67" s="359">
        <v>2</v>
      </c>
      <c r="Q67" s="195"/>
      <c r="R67" s="198" t="s">
        <v>7</v>
      </c>
      <c r="S67" s="103">
        <f t="shared" si="13"/>
        <v>0</v>
      </c>
      <c r="T67" s="83">
        <f t="shared" si="14"/>
        <v>0</v>
      </c>
      <c r="U67" s="9" t="str">
        <f t="shared" si="24"/>
        <v>SEM VALOR</v>
      </c>
      <c r="V67" s="1" t="str">
        <f ca="1">IF(OR($A67=0,$A67="S",$A67&gt;CFF!$A$9),"",MAX(V$12:OFFSET(V67,-1,0))+1)</f>
        <v/>
      </c>
      <c r="W67" s="4" t="str">
        <f t="shared" si="25"/>
        <v>SINAPI-94490</v>
      </c>
      <c r="X67" s="1">
        <f t="shared" ca="1" si="15"/>
        <v>14483</v>
      </c>
      <c r="Y67" s="103">
        <v>71.75</v>
      </c>
      <c r="Z67" s="113">
        <f ca="1">ROUND(IF(ISNUMBER(R67),R67,IF(LEFT(R67,3)="BDI",HLOOKUP(R67,DADOS!$T$37:$X$38,2,FALSE),0)),15-11*$X$5)</f>
        <v>0.21390000000000001</v>
      </c>
      <c r="AA67" s="1"/>
    </row>
    <row r="68" spans="1:27" ht="25.5" x14ac:dyDescent="0.2">
      <c r="A68" t="str">
        <f t="shared" si="16"/>
        <v>S</v>
      </c>
      <c r="B68">
        <f t="shared" si="17"/>
        <v>0</v>
      </c>
      <c r="C68">
        <f t="shared" ca="1" si="18"/>
        <v>1</v>
      </c>
      <c r="D68">
        <f t="shared" ca="1" si="19"/>
        <v>4</v>
      </c>
      <c r="E68">
        <f t="shared" ca="1" si="20"/>
        <v>2</v>
      </c>
      <c r="F68">
        <f t="shared" ca="1" si="21"/>
        <v>0</v>
      </c>
      <c r="G68">
        <f t="shared" ca="1" si="22"/>
        <v>3</v>
      </c>
      <c r="H68">
        <f ca="1">IF(OR($A68="S",$A68=0),0,MATCH(0,OFFSET($B68,1,$A68,ROW($A$242)-ROW($A68)),0))</f>
        <v>0</v>
      </c>
      <c r="I68">
        <f ca="1">IF(OR($A68="S",$A68=0),0,MATCH(OFFSET($B68,0,$A68)+1,OFFSET($B68,1,$A68,ROW($A$242)-ROW($A68)),0))</f>
        <v>0</v>
      </c>
      <c r="J68" s="353" t="s">
        <v>103</v>
      </c>
      <c r="K68" s="138" t="str">
        <f t="shared" ca="1" si="23"/>
        <v>1.4.2.0.3.</v>
      </c>
      <c r="L68" s="356" t="s">
        <v>231</v>
      </c>
      <c r="M68" s="356" t="s">
        <v>293</v>
      </c>
      <c r="N68" s="357" t="s">
        <v>493</v>
      </c>
      <c r="O68" s="358" t="s">
        <v>629</v>
      </c>
      <c r="P68" s="359">
        <v>2</v>
      </c>
      <c r="Q68" s="195"/>
      <c r="R68" s="198" t="s">
        <v>7</v>
      </c>
      <c r="S68" s="103">
        <f t="shared" si="13"/>
        <v>0</v>
      </c>
      <c r="T68" s="83">
        <f t="shared" si="14"/>
        <v>0</v>
      </c>
      <c r="U68" s="9" t="str">
        <f t="shared" si="24"/>
        <v>SEM VALOR</v>
      </c>
      <c r="V68" s="1" t="str">
        <f ca="1">IF(OR($A68=0,$A68="S",$A68&gt;CFF!$A$9),"",MAX(V$12:OFFSET(V68,-1,0))+1)</f>
        <v/>
      </c>
      <c r="W68" s="4" t="str">
        <f t="shared" si="25"/>
        <v>SINAPI-94675</v>
      </c>
      <c r="X68" s="1">
        <f t="shared" ca="1" si="15"/>
        <v>9821</v>
      </c>
      <c r="Y68" s="103">
        <v>15.48</v>
      </c>
      <c r="Z68" s="113">
        <f ca="1">ROUND(IF(ISNUMBER(R68),R68,IF(LEFT(R68,3)="BDI",HLOOKUP(R68,DADOS!$T$37:$X$38,2,FALSE),0)),15-11*$X$5)</f>
        <v>0.21390000000000001</v>
      </c>
      <c r="AA68" s="1"/>
    </row>
    <row r="69" spans="1:27" ht="25.5" x14ac:dyDescent="0.2">
      <c r="A69" t="str">
        <f t="shared" si="16"/>
        <v>S</v>
      </c>
      <c r="B69">
        <f t="shared" si="17"/>
        <v>0</v>
      </c>
      <c r="C69">
        <f t="shared" ca="1" si="18"/>
        <v>1</v>
      </c>
      <c r="D69">
        <f t="shared" ca="1" si="19"/>
        <v>4</v>
      </c>
      <c r="E69">
        <f t="shared" ca="1" si="20"/>
        <v>2</v>
      </c>
      <c r="F69">
        <f t="shared" ca="1" si="21"/>
        <v>0</v>
      </c>
      <c r="G69">
        <f t="shared" ca="1" si="22"/>
        <v>4</v>
      </c>
      <c r="H69">
        <f ca="1">IF(OR($A69="S",$A69=0),0,MATCH(0,OFFSET($B69,1,$A69,ROW($A$242)-ROW($A69)),0))</f>
        <v>0</v>
      </c>
      <c r="I69">
        <f ca="1">IF(OR($A69="S",$A69=0),0,MATCH(OFFSET($B69,0,$A69)+1,OFFSET($B69,1,$A69,ROW($A$242)-ROW($A69)),0))</f>
        <v>0</v>
      </c>
      <c r="J69" s="353" t="s">
        <v>103</v>
      </c>
      <c r="K69" s="138" t="str">
        <f t="shared" ca="1" si="23"/>
        <v>1.4.2.0.4.</v>
      </c>
      <c r="L69" s="356" t="s">
        <v>231</v>
      </c>
      <c r="M69" s="356" t="s">
        <v>294</v>
      </c>
      <c r="N69" s="357" t="s">
        <v>494</v>
      </c>
      <c r="O69" s="358" t="s">
        <v>629</v>
      </c>
      <c r="P69" s="359">
        <v>2</v>
      </c>
      <c r="Q69" s="195"/>
      <c r="R69" s="198" t="s">
        <v>7</v>
      </c>
      <c r="S69" s="103">
        <f t="shared" si="13"/>
        <v>0</v>
      </c>
      <c r="T69" s="83">
        <f t="shared" si="14"/>
        <v>0</v>
      </c>
      <c r="U69" s="9" t="str">
        <f t="shared" si="24"/>
        <v>SEM VALOR</v>
      </c>
      <c r="V69" s="1" t="str">
        <f ca="1">IF(OR($A69=0,$A69="S",$A69&gt;CFF!$A$9),"",MAX(V$12:OFFSET(V69,-1,0))+1)</f>
        <v/>
      </c>
      <c r="W69" s="4" t="str">
        <f t="shared" si="25"/>
        <v>SINAPI-94690</v>
      </c>
      <c r="X69" s="1">
        <f t="shared" ca="1" si="15"/>
        <v>10016</v>
      </c>
      <c r="Y69" s="103">
        <v>14.55</v>
      </c>
      <c r="Z69" s="113">
        <f ca="1">ROUND(IF(ISNUMBER(R69),R69,IF(LEFT(R69,3)="BDI",HLOOKUP(R69,DADOS!$T$37:$X$38,2,FALSE),0)),15-11*$X$5)</f>
        <v>0.21390000000000001</v>
      </c>
      <c r="AA69" s="1"/>
    </row>
    <row r="70" spans="1:27" ht="25.5" x14ac:dyDescent="0.2">
      <c r="A70" t="str">
        <f t="shared" si="16"/>
        <v>S</v>
      </c>
      <c r="B70">
        <f t="shared" si="17"/>
        <v>0</v>
      </c>
      <c r="C70">
        <f t="shared" ca="1" si="18"/>
        <v>1</v>
      </c>
      <c r="D70">
        <f t="shared" ca="1" si="19"/>
        <v>4</v>
      </c>
      <c r="E70">
        <f t="shared" ca="1" si="20"/>
        <v>2</v>
      </c>
      <c r="F70">
        <f t="shared" ca="1" si="21"/>
        <v>0</v>
      </c>
      <c r="G70">
        <f t="shared" ca="1" si="22"/>
        <v>5</v>
      </c>
      <c r="H70">
        <f ca="1">IF(OR($A70="S",$A70=0),0,MATCH(0,OFFSET($B70,1,$A70,ROW($A$242)-ROW($A70)),0))</f>
        <v>0</v>
      </c>
      <c r="I70">
        <f ca="1">IF(OR($A70="S",$A70=0),0,MATCH(OFFSET($B70,0,$A70)+1,OFFSET($B70,1,$A70,ROW($A$242)-ROW($A70)),0))</f>
        <v>0</v>
      </c>
      <c r="J70" s="353" t="s">
        <v>103</v>
      </c>
      <c r="K70" s="138" t="str">
        <f t="shared" ca="1" si="23"/>
        <v>1.4.2.0.5.</v>
      </c>
      <c r="L70" s="356" t="s">
        <v>231</v>
      </c>
      <c r="M70" s="356" t="s">
        <v>296</v>
      </c>
      <c r="N70" s="357" t="s">
        <v>495</v>
      </c>
      <c r="O70" s="358" t="s">
        <v>629</v>
      </c>
      <c r="P70" s="359">
        <v>1</v>
      </c>
      <c r="Q70" s="195"/>
      <c r="R70" s="198" t="s">
        <v>7</v>
      </c>
      <c r="S70" s="103">
        <f t="shared" si="13"/>
        <v>0</v>
      </c>
      <c r="T70" s="83">
        <f t="shared" si="14"/>
        <v>0</v>
      </c>
      <c r="U70" s="9" t="str">
        <f t="shared" si="24"/>
        <v>SEM VALOR</v>
      </c>
      <c r="V70" s="1" t="str">
        <f ca="1">IF(OR($A70=0,$A70="S",$A70&gt;CFF!$A$9),"",MAX(V$12:OFFSET(V70,-1,0))+1)</f>
        <v/>
      </c>
      <c r="W70" s="4" t="str">
        <f t="shared" si="25"/>
        <v>SINAPI-89435</v>
      </c>
      <c r="X70" s="1">
        <f t="shared" ca="1" si="15"/>
        <v>10585</v>
      </c>
      <c r="Y70" s="103">
        <v>27.01</v>
      </c>
      <c r="Z70" s="113">
        <f ca="1">ROUND(IF(ISNUMBER(R70),R70,IF(LEFT(R70,3)="BDI",HLOOKUP(R70,DADOS!$T$37:$X$38,2,FALSE),0)),15-11*$X$5)</f>
        <v>0.21390000000000001</v>
      </c>
      <c r="AA70" s="1"/>
    </row>
    <row r="71" spans="1:27" ht="25.5" x14ac:dyDescent="0.2">
      <c r="A71" t="str">
        <f t="shared" si="16"/>
        <v>S</v>
      </c>
      <c r="B71">
        <f t="shared" si="17"/>
        <v>0</v>
      </c>
      <c r="C71">
        <f t="shared" ca="1" si="18"/>
        <v>1</v>
      </c>
      <c r="D71">
        <f t="shared" ca="1" si="19"/>
        <v>4</v>
      </c>
      <c r="E71">
        <f t="shared" ca="1" si="20"/>
        <v>2</v>
      </c>
      <c r="F71">
        <f t="shared" ca="1" si="21"/>
        <v>0</v>
      </c>
      <c r="G71">
        <f t="shared" ca="1" si="22"/>
        <v>6</v>
      </c>
      <c r="H71">
        <f ca="1">IF(OR($A71="S",$A71=0),0,MATCH(0,OFFSET($B71,1,$A71,ROW($A$242)-ROW($A71)),0))</f>
        <v>0</v>
      </c>
      <c r="I71">
        <f ca="1">IF(OR($A71="S",$A71=0),0,MATCH(OFFSET($B71,0,$A71)+1,OFFSET($B71,1,$A71,ROW($A$242)-ROW($A71)),0))</f>
        <v>0</v>
      </c>
      <c r="J71" s="353" t="s">
        <v>103</v>
      </c>
      <c r="K71" s="138" t="str">
        <f t="shared" ca="1" si="23"/>
        <v>1.4.2.0.6.</v>
      </c>
      <c r="L71" s="356" t="s">
        <v>231</v>
      </c>
      <c r="M71" s="356" t="s">
        <v>295</v>
      </c>
      <c r="N71" s="357" t="s">
        <v>496</v>
      </c>
      <c r="O71" s="358" t="s">
        <v>632</v>
      </c>
      <c r="P71" s="359">
        <v>5.6</v>
      </c>
      <c r="Q71" s="195"/>
      <c r="R71" s="198" t="s">
        <v>7</v>
      </c>
      <c r="S71" s="103">
        <f t="shared" si="13"/>
        <v>0</v>
      </c>
      <c r="T71" s="83">
        <f t="shared" si="14"/>
        <v>0</v>
      </c>
      <c r="U71" s="9" t="str">
        <f t="shared" si="24"/>
        <v>SEM VALOR</v>
      </c>
      <c r="V71" s="1" t="str">
        <f ca="1">IF(OR($A71=0,$A71="S",$A71&gt;CFF!$A$9),"",MAX(V$12:OFFSET(V71,-1,0))+1)</f>
        <v/>
      </c>
      <c r="W71" s="4" t="str">
        <f t="shared" si="25"/>
        <v>SINAPI-94649</v>
      </c>
      <c r="X71" s="1">
        <f t="shared" ca="1" si="15"/>
        <v>9989</v>
      </c>
      <c r="Y71" s="103">
        <v>16.41</v>
      </c>
      <c r="Z71" s="113">
        <f ca="1">ROUND(IF(ISNUMBER(R71),R71,IF(LEFT(R71,3)="BDI",HLOOKUP(R71,DADOS!$T$37:$X$38,2,FALSE),0)),15-11*$X$5)</f>
        <v>0.21390000000000001</v>
      </c>
      <c r="AA71" s="1"/>
    </row>
    <row r="72" spans="1:27" x14ac:dyDescent="0.2">
      <c r="A72">
        <f t="shared" si="16"/>
        <v>3</v>
      </c>
      <c r="B72">
        <f t="shared" ca="1" si="17"/>
        <v>6</v>
      </c>
      <c r="C72">
        <f t="shared" ca="1" si="18"/>
        <v>1</v>
      </c>
      <c r="D72">
        <f t="shared" ca="1" si="19"/>
        <v>4</v>
      </c>
      <c r="E72">
        <f t="shared" ca="1" si="20"/>
        <v>3</v>
      </c>
      <c r="F72">
        <f t="shared" ca="1" si="21"/>
        <v>0</v>
      </c>
      <c r="G72">
        <f t="shared" ca="1" si="22"/>
        <v>0</v>
      </c>
      <c r="H72">
        <f ca="1">IF(OR($A72="S",$A72=0),0,MATCH(0,OFFSET($B72,1,$A72,ROW($A$242)-ROW($A72)),0))</f>
        <v>14</v>
      </c>
      <c r="I72">
        <f ca="1">IF(OR($A72="S",$A72=0),0,MATCH(OFFSET($B72,0,$A72)+1,OFFSET($B72,1,$A72,ROW($A$242)-ROW($A72)),0))</f>
        <v>6</v>
      </c>
      <c r="J72" s="353" t="s">
        <v>101</v>
      </c>
      <c r="K72" s="138" t="str">
        <f t="shared" ca="1" si="23"/>
        <v>1.4.3.</v>
      </c>
      <c r="L72" s="355"/>
      <c r="M72" s="355"/>
      <c r="N72" s="357" t="s">
        <v>445</v>
      </c>
      <c r="O72" s="358" t="s">
        <v>106</v>
      </c>
      <c r="P72" s="359"/>
      <c r="Q72" s="195"/>
      <c r="R72" s="198" t="s">
        <v>7</v>
      </c>
      <c r="S72" s="103">
        <f t="shared" si="13"/>
        <v>0</v>
      </c>
      <c r="T72" s="83">
        <f t="shared" ca="1" si="14"/>
        <v>0</v>
      </c>
      <c r="U72" s="9" t="str">
        <f t="shared" ca="1" si="24"/>
        <v>SEM VALOR</v>
      </c>
      <c r="V72" s="1" t="str">
        <f ca="1">IF(OR($A72=0,$A72="S",$A72&gt;CFF!$A$9),"",MAX(V$12:OFFSET(V72,-1,0))+1)</f>
        <v/>
      </c>
      <c r="W72" s="4" t="b">
        <f t="shared" si="25"/>
        <v>0</v>
      </c>
      <c r="X72" s="1" t="str">
        <f t="shared" ca="1" si="15"/>
        <v>X</v>
      </c>
      <c r="Y72" s="103">
        <v>0</v>
      </c>
      <c r="Z72" s="113">
        <f ca="1">ROUND(IF(ISNUMBER(R72),R72,IF(LEFT(R72,3)="BDI",HLOOKUP(R72,DADOS!$T$37:$X$38,2,FALSE),0)),15-11*$X$5)</f>
        <v>0.21390000000000001</v>
      </c>
      <c r="AA72" s="1"/>
    </row>
    <row r="73" spans="1:27" ht="25.5" x14ac:dyDescent="0.2">
      <c r="A73" t="str">
        <f t="shared" si="16"/>
        <v>S</v>
      </c>
      <c r="B73">
        <f t="shared" si="17"/>
        <v>0</v>
      </c>
      <c r="C73">
        <f t="shared" ca="1" si="18"/>
        <v>1</v>
      </c>
      <c r="D73">
        <f t="shared" ca="1" si="19"/>
        <v>4</v>
      </c>
      <c r="E73">
        <f t="shared" ca="1" si="20"/>
        <v>3</v>
      </c>
      <c r="F73">
        <f t="shared" ca="1" si="21"/>
        <v>0</v>
      </c>
      <c r="G73">
        <f t="shared" ca="1" si="22"/>
        <v>1</v>
      </c>
      <c r="H73">
        <f ca="1">IF(OR($A73="S",$A73=0),0,MATCH(0,OFFSET($B73,1,$A73,ROW($A$242)-ROW($A73)),0))</f>
        <v>0</v>
      </c>
      <c r="I73">
        <f ca="1">IF(OR($A73="S",$A73=0),0,MATCH(OFFSET($B73,0,$A73)+1,OFFSET($B73,1,$A73,ROW($A$242)-ROW($A73)),0))</f>
        <v>0</v>
      </c>
      <c r="J73" s="353" t="s">
        <v>103</v>
      </c>
      <c r="K73" s="138" t="str">
        <f t="shared" ca="1" si="23"/>
        <v>1.4.3.0.1.</v>
      </c>
      <c r="L73" s="356" t="s">
        <v>231</v>
      </c>
      <c r="M73" s="356" t="s">
        <v>297</v>
      </c>
      <c r="N73" s="357" t="s">
        <v>497</v>
      </c>
      <c r="O73" s="358" t="s">
        <v>629</v>
      </c>
      <c r="P73" s="359">
        <v>5</v>
      </c>
      <c r="Q73" s="195"/>
      <c r="R73" s="198" t="s">
        <v>7</v>
      </c>
      <c r="S73" s="103">
        <f t="shared" si="13"/>
        <v>0</v>
      </c>
      <c r="T73" s="83">
        <f t="shared" si="14"/>
        <v>0</v>
      </c>
      <c r="U73" s="9" t="str">
        <f t="shared" si="24"/>
        <v>SEM VALOR</v>
      </c>
      <c r="V73" s="1" t="str">
        <f ca="1">IF(OR($A73=0,$A73="S",$A73&gt;CFF!$A$9),"",MAX(V$12:OFFSET(V73,-1,0))+1)</f>
        <v/>
      </c>
      <c r="W73" s="4" t="str">
        <f t="shared" si="25"/>
        <v>SINAPI-89415</v>
      </c>
      <c r="X73" s="1">
        <f t="shared" ca="1" si="15"/>
        <v>10419</v>
      </c>
      <c r="Y73" s="103">
        <v>21.19</v>
      </c>
      <c r="Z73" s="113">
        <f ca="1">ROUND(IF(ISNUMBER(R73),R73,IF(LEFT(R73,3)="BDI",HLOOKUP(R73,DADOS!$T$37:$X$38,2,FALSE),0)),15-11*$X$5)</f>
        <v>0.21390000000000001</v>
      </c>
      <c r="AA73" s="1"/>
    </row>
    <row r="74" spans="1:27" ht="25.5" x14ac:dyDescent="0.2">
      <c r="A74" t="str">
        <f t="shared" si="16"/>
        <v>S</v>
      </c>
      <c r="B74">
        <f t="shared" si="17"/>
        <v>0</v>
      </c>
      <c r="C74">
        <f t="shared" ca="1" si="18"/>
        <v>1</v>
      </c>
      <c r="D74">
        <f t="shared" ca="1" si="19"/>
        <v>4</v>
      </c>
      <c r="E74">
        <f t="shared" ca="1" si="20"/>
        <v>3</v>
      </c>
      <c r="F74">
        <f t="shared" ca="1" si="21"/>
        <v>0</v>
      </c>
      <c r="G74">
        <f t="shared" ca="1" si="22"/>
        <v>2</v>
      </c>
      <c r="H74">
        <f ca="1">IF(OR($A74="S",$A74=0),0,MATCH(0,OFFSET($B74,1,$A74,ROW($A$242)-ROW($A74)),0))</f>
        <v>0</v>
      </c>
      <c r="I74">
        <f ca="1">IF(OR($A74="S",$A74=0),0,MATCH(OFFSET($B74,0,$A74)+1,OFFSET($B74,1,$A74,ROW($A$242)-ROW($A74)),0))</f>
        <v>0</v>
      </c>
      <c r="J74" s="353" t="s">
        <v>103</v>
      </c>
      <c r="K74" s="138" t="str">
        <f t="shared" ca="1" si="23"/>
        <v>1.4.3.0.2.</v>
      </c>
      <c r="L74" s="356" t="s">
        <v>231</v>
      </c>
      <c r="M74" s="356" t="s">
        <v>296</v>
      </c>
      <c r="N74" s="357" t="s">
        <v>495</v>
      </c>
      <c r="O74" s="358" t="s">
        <v>629</v>
      </c>
      <c r="P74" s="359">
        <v>1</v>
      </c>
      <c r="Q74" s="195"/>
      <c r="R74" s="198" t="s">
        <v>7</v>
      </c>
      <c r="S74" s="103">
        <f t="shared" si="13"/>
        <v>0</v>
      </c>
      <c r="T74" s="83">
        <f t="shared" si="14"/>
        <v>0</v>
      </c>
      <c r="U74" s="9" t="str">
        <f t="shared" si="24"/>
        <v>SEM VALOR</v>
      </c>
      <c r="V74" s="1" t="str">
        <f ca="1">IF(OR($A74=0,$A74="S",$A74&gt;CFF!$A$9),"",MAX(V$12:OFFSET(V74,-1,0))+1)</f>
        <v/>
      </c>
      <c r="W74" s="4" t="str">
        <f t="shared" si="25"/>
        <v>SINAPI-89435</v>
      </c>
      <c r="X74" s="1">
        <f t="shared" ca="1" si="15"/>
        <v>10585</v>
      </c>
      <c r="Y74" s="103">
        <v>27.01</v>
      </c>
      <c r="Z74" s="113">
        <f ca="1">ROUND(IF(ISNUMBER(R74),R74,IF(LEFT(R74,3)="BDI",HLOOKUP(R74,DADOS!$T$37:$X$38,2,FALSE),0)),15-11*$X$5)</f>
        <v>0.21390000000000001</v>
      </c>
      <c r="AA74" s="1"/>
    </row>
    <row r="75" spans="1:27" ht="25.5" x14ac:dyDescent="0.2">
      <c r="A75" t="str">
        <f>CHOOSE(1+LOG(1+2*(J75="Meta")+4*(J75="Nível 2")+8*(J75="Nível 3")+16*(J75="Nível 4")+32*(J75="Serviço"),2),0,1,2,3,4,"S")</f>
        <v>S</v>
      </c>
      <c r="B75">
        <f>IF(OR(A75="S",A75=0),0,IF(ISERROR(I75),H75,SMALL(H75:I75,1)))</f>
        <v>0</v>
      </c>
      <c r="C75">
        <f ca="1">IF($A75=1,OFFSET(C75,-1,0)+1,OFFSET(C75,-1,0))</f>
        <v>1</v>
      </c>
      <c r="D75">
        <f ca="1">IF($A75=1,0,IF($A75=2,OFFSET(D75,-1,0)+1,OFFSET(D75,-1,0)))</f>
        <v>4</v>
      </c>
      <c r="E75">
        <f ca="1">IF(AND($A75&lt;=2,$A75&lt;&gt;0),0,IF($A75=3,OFFSET(E75,-1,0)+1,OFFSET(E75,-1,0)))</f>
        <v>3</v>
      </c>
      <c r="F75">
        <f ca="1">IF(AND($A75&lt;=3,$A75&lt;&gt;0),0,IF($A75=4,OFFSET(F75,-1,0)+1,OFFSET(F75,-1,0)))</f>
        <v>0</v>
      </c>
      <c r="G75">
        <f ca="1">IF(AND($A75&lt;=4,$A75&lt;&gt;0),0,IF($A75="S",OFFSET(G75,-1,0)+1,OFFSET(G75,-1,0)))</f>
        <v>3</v>
      </c>
      <c r="H75">
        <f ca="1">IF(OR($A75="S",$A75=0),0,MATCH(0,OFFSET($B75,1,$A75,ROW($A$242)-ROW($A75)),0))</f>
        <v>0</v>
      </c>
      <c r="I75">
        <f ca="1">IF(OR($A75="S",$A75=0),0,MATCH(OFFSET($B75,0,$A75)+1,OFFSET($B75,1,$A75,ROW($A$242)-ROW($A75)),0))</f>
        <v>0</v>
      </c>
      <c r="J75" s="353" t="s">
        <v>103</v>
      </c>
      <c r="K75" s="138" t="str">
        <f ca="1">IF($A75=0,"-",CONCATENATE(C75&amp;".",IF(AND($A$5&gt;=2,$A75&gt;=2),D75&amp;".",""),IF(AND($A$5&gt;=3,$A75&gt;=3),E75&amp;".",""),IF(AND($A$5&gt;=4,$A75&gt;=4),F75&amp;".",""),IF($A75="S",G75&amp;".","")))</f>
        <v>1.4.3.0.3.</v>
      </c>
      <c r="L75" s="355" t="s">
        <v>231</v>
      </c>
      <c r="M75" s="355" t="s">
        <v>300</v>
      </c>
      <c r="N75" s="357" t="s">
        <v>498</v>
      </c>
      <c r="O75" s="358" t="s">
        <v>629</v>
      </c>
      <c r="P75" s="359">
        <v>1</v>
      </c>
      <c r="Q75" s="195"/>
      <c r="R75" s="198" t="s">
        <v>7</v>
      </c>
      <c r="S75" s="103">
        <f>IF($A75="S",IF($Q$10="Preço Unitário (R$)",PO.CustoUnitario,ROUND(PO.CustoUnitario*(1+$Z75),15-13*$X$6)),0)</f>
        <v>0</v>
      </c>
      <c r="T75" s="83">
        <f>IF($A75="S",VTOTAL1,IF($A75=0,0,ROUND(SomaAgrup,15-13*$X$7)))</f>
        <v>0</v>
      </c>
      <c r="U75" s="9" t="str">
        <f>IF($J75="","",IF($N75="","DESCRIÇÃO",IF(AND($J75="Serviço",$O75=""),"UNIDADE",IF($T75&lt;=0,"SEM VALOR",IF(AND($Y75&lt;&gt;"",$Q75&gt;$Y75),"ACIMA REF.","")))))</f>
        <v>SEM VALOR</v>
      </c>
      <c r="V75" s="1" t="str">
        <f ca="1">IF(OR($A75=0,$A75="S",$A75&gt;CFF!$A$9),"",MAX(V$12:OFFSET(V75,-1,0))+1)</f>
        <v/>
      </c>
      <c r="W75" s="4" t="str">
        <f>IF(AND($J75="Serviço",$M75&lt;&gt;""),IF($L75="",$M75,CONCATENATE($L75,"-",$M75)))</f>
        <v>SINAPI-94792</v>
      </c>
      <c r="X75" s="1">
        <f ca="1">IF(AND(Fonte&lt;&gt;"",Código&lt;&gt;""),MATCH(Fonte&amp;" "&amp;IF(Fonte="sinapi",SUBSTITUTE(SUBSTITUTE(Código,"/00","/"),"/0","/"),Código),INDIRECT("'[Referência "&amp;_xlnm.Database&amp;".xls]Banco'!$a:$a"),0),"X")</f>
        <v>14492</v>
      </c>
      <c r="Y75" s="103">
        <v>176.78</v>
      </c>
      <c r="Z75" s="113">
        <f ca="1">ROUND(IF(ISNUMBER(R75),R75,IF(LEFT(R75,3)="BDI",HLOOKUP(R75,DADOS!$T$37:$X$38,2,FALSE),0)),15-11*$X$5)</f>
        <v>0.21390000000000001</v>
      </c>
      <c r="AA75" s="1"/>
    </row>
    <row r="76" spans="1:27" ht="25.5" x14ac:dyDescent="0.2">
      <c r="A76" t="str">
        <f t="shared" si="16"/>
        <v>S</v>
      </c>
      <c r="B76">
        <f t="shared" si="17"/>
        <v>0</v>
      </c>
      <c r="C76">
        <f t="shared" ca="1" si="18"/>
        <v>1</v>
      </c>
      <c r="D76">
        <f t="shared" ca="1" si="19"/>
        <v>4</v>
      </c>
      <c r="E76">
        <f t="shared" ca="1" si="20"/>
        <v>3</v>
      </c>
      <c r="F76">
        <f t="shared" ca="1" si="21"/>
        <v>0</v>
      </c>
      <c r="G76">
        <f t="shared" ca="1" si="22"/>
        <v>4</v>
      </c>
      <c r="H76">
        <f ca="1">IF(OR($A76="S",$A76=0),0,MATCH(0,OFFSET($B76,1,$A76,ROW($A$242)-ROW($A76)),0))</f>
        <v>0</v>
      </c>
      <c r="I76">
        <f ca="1">IF(OR($A76="S",$A76=0),0,MATCH(OFFSET($B76,0,$A76)+1,OFFSET($B76,1,$A76,ROW($A$242)-ROW($A76)),0))</f>
        <v>0</v>
      </c>
      <c r="J76" s="353" t="s">
        <v>103</v>
      </c>
      <c r="K76" s="138" t="str">
        <f t="shared" ca="1" si="23"/>
        <v>1.4.3.0.4.</v>
      </c>
      <c r="L76" s="356" t="s">
        <v>231</v>
      </c>
      <c r="M76" s="356" t="s">
        <v>299</v>
      </c>
      <c r="N76" s="357" t="s">
        <v>499</v>
      </c>
      <c r="O76" s="358" t="s">
        <v>629</v>
      </c>
      <c r="P76" s="359">
        <v>2</v>
      </c>
      <c r="Q76" s="195"/>
      <c r="R76" s="198" t="s">
        <v>7</v>
      </c>
      <c r="S76" s="103">
        <f t="shared" si="13"/>
        <v>0</v>
      </c>
      <c r="T76" s="83">
        <f t="shared" si="14"/>
        <v>0</v>
      </c>
      <c r="U76" s="9" t="str">
        <f t="shared" si="24"/>
        <v>SEM VALOR</v>
      </c>
      <c r="V76" s="1" t="str">
        <f ca="1">IF(OR($A76=0,$A76="S",$A76&gt;CFF!$A$9),"",MAX(V$12:OFFSET(V76,-1,0))+1)</f>
        <v/>
      </c>
      <c r="W76" s="4" t="str">
        <f t="shared" si="25"/>
        <v>SINAPI-89553</v>
      </c>
      <c r="X76" s="1">
        <f t="shared" ca="1" si="15"/>
        <v>10362</v>
      </c>
      <c r="Y76" s="103">
        <v>7.55</v>
      </c>
      <c r="Z76" s="113">
        <f ca="1">ROUND(IF(ISNUMBER(R76),R76,IF(LEFT(R76,3)="BDI",HLOOKUP(R76,DADOS!$T$37:$X$38,2,FALSE),0)),15-11*$X$5)</f>
        <v>0.21390000000000001</v>
      </c>
      <c r="AA76" s="1"/>
    </row>
    <row r="77" spans="1:27" ht="25.5" x14ac:dyDescent="0.2">
      <c r="A77" t="str">
        <f t="shared" si="16"/>
        <v>S</v>
      </c>
      <c r="B77">
        <f t="shared" si="17"/>
        <v>0</v>
      </c>
      <c r="C77">
        <f t="shared" ca="1" si="18"/>
        <v>1</v>
      </c>
      <c r="D77">
        <f t="shared" ca="1" si="19"/>
        <v>4</v>
      </c>
      <c r="E77">
        <f t="shared" ca="1" si="20"/>
        <v>3</v>
      </c>
      <c r="F77">
        <f t="shared" ca="1" si="21"/>
        <v>0</v>
      </c>
      <c r="G77">
        <f t="shared" ca="1" si="22"/>
        <v>5</v>
      </c>
      <c r="H77">
        <f ca="1">IF(OR($A77="S",$A77=0),0,MATCH(0,OFFSET($B77,1,$A77,ROW($A$242)-ROW($A77)),0))</f>
        <v>0</v>
      </c>
      <c r="I77">
        <f ca="1">IF(OR($A77="S",$A77=0),0,MATCH(OFFSET($B77,0,$A77)+1,OFFSET($B77,1,$A77,ROW($A$242)-ROW($A77)),0))</f>
        <v>0</v>
      </c>
      <c r="J77" s="353" t="s">
        <v>103</v>
      </c>
      <c r="K77" s="138" t="str">
        <f t="shared" ca="1" si="23"/>
        <v>1.4.3.0.5.</v>
      </c>
      <c r="L77" s="356" t="s">
        <v>231</v>
      </c>
      <c r="M77" s="356" t="s">
        <v>298</v>
      </c>
      <c r="N77" s="357" t="s">
        <v>500</v>
      </c>
      <c r="O77" s="358" t="s">
        <v>632</v>
      </c>
      <c r="P77" s="359">
        <v>4.5</v>
      </c>
      <c r="Q77" s="195"/>
      <c r="R77" s="198" t="s">
        <v>7</v>
      </c>
      <c r="S77" s="103">
        <f t="shared" si="13"/>
        <v>0</v>
      </c>
      <c r="T77" s="83">
        <f t="shared" si="14"/>
        <v>0</v>
      </c>
      <c r="U77" s="9" t="str">
        <f t="shared" si="24"/>
        <v>SEM VALOR</v>
      </c>
      <c r="V77" s="1" t="str">
        <f ca="1">IF(OR($A77=0,$A77="S",$A77&gt;CFF!$A$9),"",MAX(V$12:OFFSET(V77,-1,0))+1)</f>
        <v/>
      </c>
      <c r="W77" s="4" t="str">
        <f t="shared" si="25"/>
        <v>SINAPI-89403</v>
      </c>
      <c r="X77" s="1">
        <f t="shared" ca="1" si="15"/>
        <v>10553</v>
      </c>
      <c r="Y77" s="103">
        <v>24.86</v>
      </c>
      <c r="Z77" s="113">
        <f ca="1">ROUND(IF(ISNUMBER(R77),R77,IF(LEFT(R77,3)="BDI",HLOOKUP(R77,DADOS!$T$37:$X$38,2,FALSE),0)),15-11*$X$5)</f>
        <v>0.21390000000000001</v>
      </c>
      <c r="AA77" s="1"/>
    </row>
    <row r="78" spans="1:27" x14ac:dyDescent="0.2">
      <c r="A78">
        <f t="shared" si="16"/>
        <v>3</v>
      </c>
      <c r="B78">
        <f t="shared" ca="1" si="17"/>
        <v>6</v>
      </c>
      <c r="C78">
        <f t="shared" ca="1" si="18"/>
        <v>1</v>
      </c>
      <c r="D78">
        <f t="shared" ca="1" si="19"/>
        <v>4</v>
      </c>
      <c r="E78">
        <f t="shared" ca="1" si="20"/>
        <v>4</v>
      </c>
      <c r="F78">
        <f t="shared" ca="1" si="21"/>
        <v>0</v>
      </c>
      <c r="G78">
        <f t="shared" ca="1" si="22"/>
        <v>0</v>
      </c>
      <c r="H78">
        <f t="shared" ref="H78:H141" ca="1" si="26">IF(OR($A78="S",$A78=0),0,MATCH(0,OFFSET($B78,1,$A78,ROW($A$242)-ROW($A78)),0))</f>
        <v>8</v>
      </c>
      <c r="I78">
        <f t="shared" ref="I78:I141" ca="1" si="27">IF(OR($A78="S",$A78=0),0,MATCH(OFFSET($B78,0,$A78)+1,OFFSET($B78,1,$A78,ROW($A$242)-ROW($A78)),0))</f>
        <v>6</v>
      </c>
      <c r="J78" s="353" t="s">
        <v>101</v>
      </c>
      <c r="K78" s="138" t="str">
        <f t="shared" ca="1" si="23"/>
        <v>1.4.4.</v>
      </c>
      <c r="L78" s="355"/>
      <c r="M78" s="355"/>
      <c r="N78" s="357" t="s">
        <v>444</v>
      </c>
      <c r="O78" s="358" t="s">
        <v>106</v>
      </c>
      <c r="P78" s="359"/>
      <c r="Q78" s="195"/>
      <c r="R78" s="198" t="s">
        <v>7</v>
      </c>
      <c r="S78" s="103">
        <f t="shared" si="13"/>
        <v>0</v>
      </c>
      <c r="T78" s="83">
        <f t="shared" ca="1" si="14"/>
        <v>0</v>
      </c>
      <c r="U78" s="9" t="str">
        <f t="shared" ca="1" si="24"/>
        <v>SEM VALOR</v>
      </c>
      <c r="V78" s="1" t="str">
        <f ca="1">IF(OR($A78=0,$A78="S",$A78&gt;CFF!$A$9),"",MAX(V$12:OFFSET(V78,-1,0))+1)</f>
        <v/>
      </c>
      <c r="W78" s="4" t="b">
        <f t="shared" si="25"/>
        <v>0</v>
      </c>
      <c r="X78" s="1" t="str">
        <f t="shared" ca="1" si="15"/>
        <v>X</v>
      </c>
      <c r="Y78" s="103">
        <v>0</v>
      </c>
      <c r="Z78" s="113">
        <f ca="1">ROUND(IF(ISNUMBER(R78),R78,IF(LEFT(R78,3)="BDI",HLOOKUP(R78,DADOS!$T$37:$X$38,2,FALSE),0)),15-11*$X$5)</f>
        <v>0.21390000000000001</v>
      </c>
      <c r="AA78" s="1"/>
    </row>
    <row r="79" spans="1:27" ht="25.5" x14ac:dyDescent="0.2">
      <c r="A79" t="str">
        <f t="shared" si="16"/>
        <v>S</v>
      </c>
      <c r="B79">
        <f t="shared" si="17"/>
        <v>0</v>
      </c>
      <c r="C79">
        <f t="shared" ca="1" si="18"/>
        <v>1</v>
      </c>
      <c r="D79">
        <f t="shared" ca="1" si="19"/>
        <v>4</v>
      </c>
      <c r="E79">
        <f t="shared" ca="1" si="20"/>
        <v>4</v>
      </c>
      <c r="F79">
        <f t="shared" ca="1" si="21"/>
        <v>0</v>
      </c>
      <c r="G79">
        <f t="shared" ca="1" si="22"/>
        <v>1</v>
      </c>
      <c r="H79">
        <f t="shared" ca="1" si="26"/>
        <v>0</v>
      </c>
      <c r="I79">
        <f t="shared" ca="1" si="27"/>
        <v>0</v>
      </c>
      <c r="J79" s="353" t="s">
        <v>103</v>
      </c>
      <c r="K79" s="138" t="str">
        <f t="shared" ca="1" si="23"/>
        <v>1.4.4.0.1.</v>
      </c>
      <c r="L79" s="356" t="s">
        <v>231</v>
      </c>
      <c r="M79" s="356" t="s">
        <v>291</v>
      </c>
      <c r="N79" s="357" t="s">
        <v>491</v>
      </c>
      <c r="O79" s="358" t="s">
        <v>629</v>
      </c>
      <c r="P79" s="359">
        <v>4</v>
      </c>
      <c r="Q79" s="195"/>
      <c r="R79" s="198" t="s">
        <v>7</v>
      </c>
      <c r="S79" s="103">
        <f t="shared" si="13"/>
        <v>0</v>
      </c>
      <c r="T79" s="83">
        <f t="shared" si="14"/>
        <v>0</v>
      </c>
      <c r="U79" s="9" t="str">
        <f t="shared" si="24"/>
        <v>SEM VALOR</v>
      </c>
      <c r="V79" s="1" t="str">
        <f ca="1">IF(OR($A79=0,$A79="S",$A79&gt;CFF!$A$9),"",MAX(V$12:OFFSET(V79,-1,0))+1)</f>
        <v/>
      </c>
      <c r="W79" s="4" t="str">
        <f t="shared" si="25"/>
        <v>SINAPI-94704</v>
      </c>
      <c r="X79" s="1">
        <f t="shared" ca="1" si="15"/>
        <v>9729</v>
      </c>
      <c r="Y79" s="103">
        <v>34.549999999999997</v>
      </c>
      <c r="Z79" s="113">
        <f ca="1">ROUND(IF(ISNUMBER(R79),R79,IF(LEFT(R79,3)="BDI",HLOOKUP(R79,DADOS!$T$37:$X$38,2,FALSE),0)),15-11*$X$5)</f>
        <v>0.21390000000000001</v>
      </c>
      <c r="AA79" s="1"/>
    </row>
    <row r="80" spans="1:27" ht="25.5" x14ac:dyDescent="0.2">
      <c r="A80" t="str">
        <f t="shared" si="16"/>
        <v>S</v>
      </c>
      <c r="B80">
        <f t="shared" si="17"/>
        <v>0</v>
      </c>
      <c r="C80">
        <f t="shared" ca="1" si="18"/>
        <v>1</v>
      </c>
      <c r="D80">
        <f t="shared" ca="1" si="19"/>
        <v>4</v>
      </c>
      <c r="E80">
        <f t="shared" ca="1" si="20"/>
        <v>4</v>
      </c>
      <c r="F80">
        <f t="shared" ca="1" si="21"/>
        <v>0</v>
      </c>
      <c r="G80">
        <f t="shared" ca="1" si="22"/>
        <v>2</v>
      </c>
      <c r="H80">
        <f t="shared" ca="1" si="26"/>
        <v>0</v>
      </c>
      <c r="I80">
        <f t="shared" ca="1" si="27"/>
        <v>0</v>
      </c>
      <c r="J80" s="353" t="s">
        <v>103</v>
      </c>
      <c r="K80" s="138" t="str">
        <f t="shared" ca="1" si="23"/>
        <v>1.4.4.0.2.</v>
      </c>
      <c r="L80" s="356" t="s">
        <v>231</v>
      </c>
      <c r="M80" s="356" t="s">
        <v>292</v>
      </c>
      <c r="N80" s="357" t="s">
        <v>492</v>
      </c>
      <c r="O80" s="358" t="s">
        <v>629</v>
      </c>
      <c r="P80" s="359">
        <v>2</v>
      </c>
      <c r="Q80" s="195"/>
      <c r="R80" s="198" t="s">
        <v>7</v>
      </c>
      <c r="S80" s="103">
        <f t="shared" si="13"/>
        <v>0</v>
      </c>
      <c r="T80" s="83">
        <f t="shared" si="14"/>
        <v>0</v>
      </c>
      <c r="U80" s="9" t="str">
        <f t="shared" si="24"/>
        <v>SEM VALOR</v>
      </c>
      <c r="V80" s="1" t="str">
        <f ca="1">IF(OR($A80=0,$A80="S",$A80&gt;CFF!$A$9),"",MAX(V$12:OFFSET(V80,-1,0))+1)</f>
        <v/>
      </c>
      <c r="W80" s="4" t="str">
        <f t="shared" si="25"/>
        <v>SINAPI-94490</v>
      </c>
      <c r="X80" s="1">
        <f t="shared" ca="1" si="15"/>
        <v>14483</v>
      </c>
      <c r="Y80" s="103">
        <v>71.75</v>
      </c>
      <c r="Z80" s="113">
        <f ca="1">ROUND(IF(ISNUMBER(R80),R80,IF(LEFT(R80,3)="BDI",HLOOKUP(R80,DADOS!$T$37:$X$38,2,FALSE),0)),15-11*$X$5)</f>
        <v>0.21390000000000001</v>
      </c>
      <c r="AA80" s="1"/>
    </row>
    <row r="81" spans="1:27" ht="25.5" x14ac:dyDescent="0.2">
      <c r="A81" t="str">
        <f t="shared" si="16"/>
        <v>S</v>
      </c>
      <c r="B81">
        <f t="shared" si="17"/>
        <v>0</v>
      </c>
      <c r="C81">
        <f t="shared" ca="1" si="18"/>
        <v>1</v>
      </c>
      <c r="D81">
        <f t="shared" ca="1" si="19"/>
        <v>4</v>
      </c>
      <c r="E81">
        <f t="shared" ca="1" si="20"/>
        <v>4</v>
      </c>
      <c r="F81">
        <f t="shared" ca="1" si="21"/>
        <v>0</v>
      </c>
      <c r="G81">
        <f t="shared" ca="1" si="22"/>
        <v>3</v>
      </c>
      <c r="H81">
        <f t="shared" ca="1" si="26"/>
        <v>0</v>
      </c>
      <c r="I81">
        <f t="shared" ca="1" si="27"/>
        <v>0</v>
      </c>
      <c r="J81" s="353" t="s">
        <v>103</v>
      </c>
      <c r="K81" s="138" t="str">
        <f t="shared" ca="1" si="23"/>
        <v>1.4.4.0.3.</v>
      </c>
      <c r="L81" s="356" t="s">
        <v>231</v>
      </c>
      <c r="M81" s="356" t="s">
        <v>293</v>
      </c>
      <c r="N81" s="357" t="s">
        <v>493</v>
      </c>
      <c r="O81" s="358" t="s">
        <v>629</v>
      </c>
      <c r="P81" s="359">
        <v>4</v>
      </c>
      <c r="Q81" s="195"/>
      <c r="R81" s="198" t="s">
        <v>7</v>
      </c>
      <c r="S81" s="103">
        <f t="shared" si="13"/>
        <v>0</v>
      </c>
      <c r="T81" s="83">
        <f t="shared" si="14"/>
        <v>0</v>
      </c>
      <c r="U81" s="9" t="str">
        <f t="shared" si="24"/>
        <v>SEM VALOR</v>
      </c>
      <c r="V81" s="1" t="str">
        <f ca="1">IF(OR($A81=0,$A81="S",$A81&gt;CFF!$A$9),"",MAX(V$12:OFFSET(V81,-1,0))+1)</f>
        <v/>
      </c>
      <c r="W81" s="4" t="str">
        <f t="shared" si="25"/>
        <v>SINAPI-94675</v>
      </c>
      <c r="X81" s="1">
        <f t="shared" ca="1" si="15"/>
        <v>9821</v>
      </c>
      <c r="Y81" s="103">
        <v>15.48</v>
      </c>
      <c r="Z81" s="113">
        <f ca="1">ROUND(IF(ISNUMBER(R81),R81,IF(LEFT(R81,3)="BDI",HLOOKUP(R81,DADOS!$T$37:$X$38,2,FALSE),0)),15-11*$X$5)</f>
        <v>0.21390000000000001</v>
      </c>
      <c r="AA81" s="1"/>
    </row>
    <row r="82" spans="1:27" ht="25.5" x14ac:dyDescent="0.2">
      <c r="A82" t="str">
        <f t="shared" si="16"/>
        <v>S</v>
      </c>
      <c r="B82">
        <f t="shared" si="17"/>
        <v>0</v>
      </c>
      <c r="C82">
        <f t="shared" ca="1" si="18"/>
        <v>1</v>
      </c>
      <c r="D82">
        <f t="shared" ca="1" si="19"/>
        <v>4</v>
      </c>
      <c r="E82">
        <f t="shared" ca="1" si="20"/>
        <v>4</v>
      </c>
      <c r="F82">
        <f t="shared" ca="1" si="21"/>
        <v>0</v>
      </c>
      <c r="G82">
        <f t="shared" ca="1" si="22"/>
        <v>4</v>
      </c>
      <c r="H82">
        <f t="shared" ca="1" si="26"/>
        <v>0</v>
      </c>
      <c r="I82">
        <f t="shared" ca="1" si="27"/>
        <v>0</v>
      </c>
      <c r="J82" s="353" t="s">
        <v>103</v>
      </c>
      <c r="K82" s="138" t="str">
        <f t="shared" ca="1" si="23"/>
        <v>1.4.4.0.4.</v>
      </c>
      <c r="L82" s="356" t="s">
        <v>231</v>
      </c>
      <c r="M82" s="356" t="s">
        <v>294</v>
      </c>
      <c r="N82" s="357" t="s">
        <v>494</v>
      </c>
      <c r="O82" s="358" t="s">
        <v>629</v>
      </c>
      <c r="P82" s="359">
        <v>2</v>
      </c>
      <c r="Q82" s="195"/>
      <c r="R82" s="198" t="s">
        <v>7</v>
      </c>
      <c r="S82" s="103">
        <f t="shared" si="13"/>
        <v>0</v>
      </c>
      <c r="T82" s="83">
        <f t="shared" si="14"/>
        <v>0</v>
      </c>
      <c r="U82" s="9" t="str">
        <f t="shared" si="24"/>
        <v>SEM VALOR</v>
      </c>
      <c r="V82" s="1" t="str">
        <f ca="1">IF(OR($A82=0,$A82="S",$A82&gt;CFF!$A$9),"",MAX(V$12:OFFSET(V82,-1,0))+1)</f>
        <v/>
      </c>
      <c r="W82" s="4" t="str">
        <f t="shared" si="25"/>
        <v>SINAPI-94690</v>
      </c>
      <c r="X82" s="1">
        <f t="shared" ca="1" si="15"/>
        <v>10016</v>
      </c>
      <c r="Y82" s="103">
        <v>14.55</v>
      </c>
      <c r="Z82" s="113">
        <f ca="1">ROUND(IF(ISNUMBER(R82),R82,IF(LEFT(R82,3)="BDI",HLOOKUP(R82,DADOS!$T$37:$X$38,2,FALSE),0)),15-11*$X$5)</f>
        <v>0.21390000000000001</v>
      </c>
      <c r="AA82" s="1"/>
    </row>
    <row r="83" spans="1:27" ht="25.5" x14ac:dyDescent="0.2">
      <c r="A83" t="str">
        <f t="shared" si="16"/>
        <v>S</v>
      </c>
      <c r="B83">
        <f t="shared" si="17"/>
        <v>0</v>
      </c>
      <c r="C83">
        <f t="shared" ca="1" si="18"/>
        <v>1</v>
      </c>
      <c r="D83">
        <f t="shared" ca="1" si="19"/>
        <v>4</v>
      </c>
      <c r="E83">
        <f t="shared" ca="1" si="20"/>
        <v>4</v>
      </c>
      <c r="F83">
        <f t="shared" ca="1" si="21"/>
        <v>0</v>
      </c>
      <c r="G83">
        <f t="shared" ca="1" si="22"/>
        <v>5</v>
      </c>
      <c r="H83">
        <f t="shared" ca="1" si="26"/>
        <v>0</v>
      </c>
      <c r="I83">
        <f t="shared" ca="1" si="27"/>
        <v>0</v>
      </c>
      <c r="J83" s="353" t="s">
        <v>103</v>
      </c>
      <c r="K83" s="138" t="str">
        <f t="shared" ca="1" si="23"/>
        <v>1.4.4.0.5.</v>
      </c>
      <c r="L83" s="356" t="s">
        <v>231</v>
      </c>
      <c r="M83" s="356" t="s">
        <v>295</v>
      </c>
      <c r="N83" s="357" t="s">
        <v>496</v>
      </c>
      <c r="O83" s="358" t="s">
        <v>632</v>
      </c>
      <c r="P83" s="359">
        <v>6</v>
      </c>
      <c r="Q83" s="195"/>
      <c r="R83" s="198" t="s">
        <v>7</v>
      </c>
      <c r="S83" s="103">
        <f t="shared" si="13"/>
        <v>0</v>
      </c>
      <c r="T83" s="83">
        <f t="shared" si="14"/>
        <v>0</v>
      </c>
      <c r="U83" s="9" t="str">
        <f t="shared" si="24"/>
        <v>SEM VALOR</v>
      </c>
      <c r="V83" s="1" t="str">
        <f ca="1">IF(OR($A83=0,$A83="S",$A83&gt;CFF!$A$9),"",MAX(V$12:OFFSET(V83,-1,0))+1)</f>
        <v/>
      </c>
      <c r="W83" s="4" t="str">
        <f t="shared" si="25"/>
        <v>SINAPI-94649</v>
      </c>
      <c r="X83" s="1">
        <f t="shared" ca="1" si="15"/>
        <v>9989</v>
      </c>
      <c r="Y83" s="103">
        <v>16.41</v>
      </c>
      <c r="Z83" s="113">
        <f ca="1">ROUND(IF(ISNUMBER(R83),R83,IF(LEFT(R83,3)="BDI",HLOOKUP(R83,DADOS!$T$37:$X$38,2,FALSE),0)),15-11*$X$5)</f>
        <v>0.21390000000000001</v>
      </c>
      <c r="AA83" s="1"/>
    </row>
    <row r="84" spans="1:27" x14ac:dyDescent="0.2">
      <c r="A84">
        <f t="shared" si="16"/>
        <v>3</v>
      </c>
      <c r="B84">
        <f t="shared" ca="1" si="17"/>
        <v>2</v>
      </c>
      <c r="C84">
        <f t="shared" ca="1" si="18"/>
        <v>1</v>
      </c>
      <c r="D84">
        <f t="shared" ca="1" si="19"/>
        <v>4</v>
      </c>
      <c r="E84">
        <f t="shared" ca="1" si="20"/>
        <v>5</v>
      </c>
      <c r="F84">
        <f t="shared" ca="1" si="21"/>
        <v>0</v>
      </c>
      <c r="G84">
        <f t="shared" ca="1" si="22"/>
        <v>0</v>
      </c>
      <c r="H84">
        <f t="shared" ca="1" si="26"/>
        <v>2</v>
      </c>
      <c r="I84" t="e">
        <f t="shared" ca="1" si="27"/>
        <v>#N/A</v>
      </c>
      <c r="J84" s="353" t="s">
        <v>101</v>
      </c>
      <c r="K84" s="138" t="str">
        <f t="shared" ca="1" si="23"/>
        <v>1.4.5.</v>
      </c>
      <c r="L84" s="355"/>
      <c r="M84" s="355"/>
      <c r="N84" s="357" t="s">
        <v>443</v>
      </c>
      <c r="O84" s="358" t="s">
        <v>106</v>
      </c>
      <c r="P84" s="359"/>
      <c r="Q84" s="195"/>
      <c r="R84" s="198" t="s">
        <v>7</v>
      </c>
      <c r="S84" s="103">
        <f t="shared" si="13"/>
        <v>0</v>
      </c>
      <c r="T84" s="83">
        <f t="shared" ca="1" si="14"/>
        <v>0</v>
      </c>
      <c r="U84" s="9" t="str">
        <f t="shared" ca="1" si="24"/>
        <v>SEM VALOR</v>
      </c>
      <c r="V84" s="1" t="str">
        <f ca="1">IF(OR($A84=0,$A84="S",$A84&gt;CFF!$A$9),"",MAX(V$12:OFFSET(V84,-1,0))+1)</f>
        <v/>
      </c>
      <c r="W84" s="4" t="b">
        <f t="shared" si="25"/>
        <v>0</v>
      </c>
      <c r="X84" s="1" t="str">
        <f t="shared" ca="1" si="15"/>
        <v>X</v>
      </c>
      <c r="Y84" s="103">
        <v>0</v>
      </c>
      <c r="Z84" s="113">
        <f ca="1">ROUND(IF(ISNUMBER(R84),R84,IF(LEFT(R84,3)="BDI",HLOOKUP(R84,DADOS!$T$37:$X$38,2,FALSE),0)),15-11*$X$5)</f>
        <v>0.21390000000000001</v>
      </c>
      <c r="AA84" s="1"/>
    </row>
    <row r="85" spans="1:27" ht="25.5" x14ac:dyDescent="0.2">
      <c r="A85" t="str">
        <f t="shared" si="16"/>
        <v>S</v>
      </c>
      <c r="B85">
        <f t="shared" si="17"/>
        <v>0</v>
      </c>
      <c r="C85">
        <f t="shared" ca="1" si="18"/>
        <v>1</v>
      </c>
      <c r="D85">
        <f t="shared" ca="1" si="19"/>
        <v>4</v>
      </c>
      <c r="E85">
        <f t="shared" ca="1" si="20"/>
        <v>5</v>
      </c>
      <c r="F85">
        <f t="shared" ca="1" si="21"/>
        <v>0</v>
      </c>
      <c r="G85">
        <f t="shared" ca="1" si="22"/>
        <v>1</v>
      </c>
      <c r="H85">
        <f t="shared" ca="1" si="26"/>
        <v>0</v>
      </c>
      <c r="I85">
        <f t="shared" ca="1" si="27"/>
        <v>0</v>
      </c>
      <c r="J85" s="353" t="s">
        <v>103</v>
      </c>
      <c r="K85" s="138" t="str">
        <f t="shared" ca="1" si="23"/>
        <v>1.4.5.0.1.</v>
      </c>
      <c r="L85" s="356" t="s">
        <v>231</v>
      </c>
      <c r="M85" s="356" t="s">
        <v>301</v>
      </c>
      <c r="N85" s="357" t="s">
        <v>501</v>
      </c>
      <c r="O85" s="358" t="s">
        <v>629</v>
      </c>
      <c r="P85" s="359">
        <v>1</v>
      </c>
      <c r="Q85" s="195"/>
      <c r="R85" s="198" t="s">
        <v>7</v>
      </c>
      <c r="S85" s="103">
        <f t="shared" si="13"/>
        <v>0</v>
      </c>
      <c r="T85" s="83">
        <f t="shared" si="14"/>
        <v>0</v>
      </c>
      <c r="U85" s="9" t="str">
        <f t="shared" si="24"/>
        <v>SEM VALOR</v>
      </c>
      <c r="V85" s="1" t="str">
        <f ca="1">IF(OR($A85=0,$A85="S",$A85&gt;CFF!$A$9),"",MAX(V$12:OFFSET(V85,-1,0))+1)</f>
        <v/>
      </c>
      <c r="W85" s="4" t="str">
        <f t="shared" si="25"/>
        <v>SINAPI-104348</v>
      </c>
      <c r="X85" s="1">
        <f t="shared" ca="1" si="15"/>
        <v>10348</v>
      </c>
      <c r="Y85" s="103">
        <v>13.83</v>
      </c>
      <c r="Z85" s="113">
        <f ca="1">ROUND(IF(ISNUMBER(R85),R85,IF(LEFT(R85,3)="BDI",HLOOKUP(R85,DADOS!$T$37:$X$38,2,FALSE),0)),15-11*$X$5)</f>
        <v>0.21390000000000001</v>
      </c>
      <c r="AA85" s="1"/>
    </row>
    <row r="86" spans="1:27" x14ac:dyDescent="0.2">
      <c r="A86">
        <f>CHOOSE(1+LOG(1+2*(J86="Meta")+4*(J86="Nível 2")+8*(J86="Nível 3")+16*(J86="Nível 4")+32*(J86="Serviço"),2),0,1,2,3,4,"S")</f>
        <v>2</v>
      </c>
      <c r="B86">
        <f ca="1">IF(OR(A86="S",A86=0),0,IF(ISERROR(I86),H86,SMALL(H86:I86,1)))</f>
        <v>8</v>
      </c>
      <c r="C86">
        <f ca="1">IF($A86=1,OFFSET(C86,-1,0)+1,OFFSET(C86,-1,0))</f>
        <v>1</v>
      </c>
      <c r="D86">
        <f ca="1">IF($A86=1,0,IF($A86=2,OFFSET(D86,-1,0)+1,OFFSET(D86,-1,0)))</f>
        <v>5</v>
      </c>
      <c r="E86">
        <f ca="1">IF(AND($A86&lt;=2,$A86&lt;&gt;0),0,IF($A86=3,OFFSET(E86,-1,0)+1,OFFSET(E86,-1,0)))</f>
        <v>0</v>
      </c>
      <c r="F86">
        <f ca="1">IF(AND($A86&lt;=3,$A86&lt;&gt;0),0,IF($A86=4,OFFSET(F86,-1,0)+1,OFFSET(F86,-1,0)))</f>
        <v>0</v>
      </c>
      <c r="G86">
        <f ca="1">IF(AND($A86&lt;=4,$A86&lt;&gt;0),0,IF($A86="S",OFFSET(G86,-1,0)+1,OFFSET(G86,-1,0)))</f>
        <v>0</v>
      </c>
      <c r="H86">
        <f t="shared" ca="1" si="26"/>
        <v>156</v>
      </c>
      <c r="I86">
        <f t="shared" ca="1" si="27"/>
        <v>8</v>
      </c>
      <c r="J86" s="353" t="s">
        <v>100</v>
      </c>
      <c r="K86" s="138" t="str">
        <f ca="1">IF($A86=0,"-",CONCATENATE(C86&amp;".",IF(AND($A$5&gt;=2,$A86&gt;=2),D86&amp;".",""),IF(AND($A$5&gt;=3,$A86&gt;=3),E86&amp;".",""),IF(AND($A$5&gt;=4,$A86&gt;=4),F86&amp;".",""),IF($A86="S",G86&amp;".","")))</f>
        <v>1.5.</v>
      </c>
      <c r="L86" s="355"/>
      <c r="M86" s="355"/>
      <c r="N86" s="357" t="s">
        <v>258</v>
      </c>
      <c r="O86" s="358" t="s">
        <v>106</v>
      </c>
      <c r="P86" s="359"/>
      <c r="Q86" s="195"/>
      <c r="R86" s="198" t="s">
        <v>7</v>
      </c>
      <c r="S86" s="103">
        <f t="shared" ref="S86:S88" si="28">IF($A86="S",IF($Q$10="Preço Unitário (R$)",PO.CustoUnitario,ROUND(PO.CustoUnitario*(1+$Z86),15-13*$X$6)),0)</f>
        <v>0</v>
      </c>
      <c r="T86" s="83">
        <f t="shared" ref="T86:T88" ca="1" si="29">IF($A86="S",VTOTAL1,IF($A86=0,0,ROUND(SomaAgrup,15-13*$X$7)))</f>
        <v>0</v>
      </c>
      <c r="U86" s="9" t="str">
        <f ca="1">IF($J86="","",IF($N86="","DESCRIÇÃO",IF(AND($J86="Serviço",$O86=""),"UNIDADE",IF($T86&lt;=0,"SEM VALOR",IF(AND($Y86&lt;&gt;"",$Q86&gt;$Y86),"ACIMA REF.","")))))</f>
        <v>SEM VALOR</v>
      </c>
      <c r="V86" s="1" t="str">
        <f ca="1">IF(OR($A86=0,$A86="S",$A86&gt;CFF!$A$9),"",MAX(V$12:OFFSET(V86,-1,0))+1)</f>
        <v/>
      </c>
      <c r="W86" s="4" t="b">
        <f>IF(AND($J86="Serviço",$M86&lt;&gt;""),IF($L86="",$M86,CONCATENATE($L86,"-",$M86)))</f>
        <v>0</v>
      </c>
      <c r="X86" s="1" t="str">
        <f t="shared" ref="X86:X88" ca="1" si="30">IF(AND(Fonte&lt;&gt;"",Código&lt;&gt;""),MATCH(Fonte&amp;" "&amp;IF(Fonte="sinapi",SUBSTITUTE(SUBSTITUTE(Código,"/00","/"),"/0","/"),Código),INDIRECT("'[Referência "&amp;_xlnm.Database&amp;".xls]Banco'!$a:$a"),0),"X")</f>
        <v>X</v>
      </c>
      <c r="Y86" s="103">
        <v>0</v>
      </c>
      <c r="Z86" s="113">
        <f ca="1">ROUND(IF(ISNUMBER(R86),R86,IF(LEFT(R86,3)="BDI",HLOOKUP(R86,DADOS!$T$37:$X$38,2,FALSE),0)),15-11*$X$5)</f>
        <v>0.21390000000000001</v>
      </c>
      <c r="AA86" s="1"/>
    </row>
    <row r="87" spans="1:27" x14ac:dyDescent="0.2">
      <c r="A87">
        <f t="shared" ref="A87:A88" si="31">CHOOSE(1+LOG(1+2*(J87="Meta")+4*(J87="Nível 2")+8*(J87="Nível 3")+16*(J87="Nível 4")+32*(J87="Serviço"),2),0,1,2,3,4,"S")</f>
        <v>3</v>
      </c>
      <c r="B87">
        <f t="shared" ref="B87:B88" ca="1" si="32">IF(OR(A87="S",A87=0),0,IF(ISERROR(I87),H87,SMALL(H87:I87,1)))</f>
        <v>2</v>
      </c>
      <c r="C87">
        <f t="shared" ref="C87:C88" ca="1" si="33">IF($A87=1,OFFSET(C87,-1,0)+1,OFFSET(C87,-1,0))</f>
        <v>1</v>
      </c>
      <c r="D87">
        <f t="shared" ref="D87:D88" ca="1" si="34">IF($A87=1,0,IF($A87=2,OFFSET(D87,-1,0)+1,OFFSET(D87,-1,0)))</f>
        <v>5</v>
      </c>
      <c r="E87">
        <f t="shared" ref="E87:E88" ca="1" si="35">IF(AND($A87&lt;=2,$A87&lt;&gt;0),0,IF($A87=3,OFFSET(E87,-1,0)+1,OFFSET(E87,-1,0)))</f>
        <v>1</v>
      </c>
      <c r="F87">
        <f t="shared" ref="F87:F88" ca="1" si="36">IF(AND($A87&lt;=3,$A87&lt;&gt;0),0,IF($A87=4,OFFSET(F87,-1,0)+1,OFFSET(F87,-1,0)))</f>
        <v>0</v>
      </c>
      <c r="G87">
        <f t="shared" ref="G87:G88" ca="1" si="37">IF(AND($A87&lt;=4,$A87&lt;&gt;0),0,IF($A87="S",OFFSET(G87,-1,0)+1,OFFSET(G87,-1,0)))</f>
        <v>0</v>
      </c>
      <c r="H87">
        <f t="shared" ca="1" si="26"/>
        <v>7</v>
      </c>
      <c r="I87">
        <f t="shared" ca="1" si="27"/>
        <v>2</v>
      </c>
      <c r="J87" s="353" t="s">
        <v>101</v>
      </c>
      <c r="K87" s="138" t="str">
        <f t="shared" ref="K87:K88" ca="1" si="38">IF($A87=0,"-",CONCATENATE(C87&amp;".",IF(AND($A$5&gt;=2,$A87&gt;=2),D87&amp;".",""),IF(AND($A$5&gt;=3,$A87&gt;=3),E87&amp;".",""),IF(AND($A$5&gt;=4,$A87&gt;=4),F87&amp;".",""),IF($A87="S",G87&amp;".","")))</f>
        <v>1.5.1.</v>
      </c>
      <c r="L87" s="355"/>
      <c r="M87" s="355"/>
      <c r="N87" s="357" t="s">
        <v>449</v>
      </c>
      <c r="O87" s="358" t="s">
        <v>106</v>
      </c>
      <c r="P87" s="359"/>
      <c r="Q87" s="195"/>
      <c r="R87" s="198" t="s">
        <v>7</v>
      </c>
      <c r="S87" s="103">
        <f t="shared" si="28"/>
        <v>0</v>
      </c>
      <c r="T87" s="83">
        <f t="shared" ca="1" si="29"/>
        <v>0</v>
      </c>
      <c r="U87" s="9" t="str">
        <f t="shared" ref="U87:U88" ca="1" si="39">IF($J87="","",IF($N87="","DESCRIÇÃO",IF(AND($J87="Serviço",$O87=""),"UNIDADE",IF($T87&lt;=0,"SEM VALOR",IF(AND($Y87&lt;&gt;"",$Q87&gt;$Y87),"ACIMA REF.","")))))</f>
        <v>SEM VALOR</v>
      </c>
      <c r="V87" s="1" t="str">
        <f ca="1">IF(OR($A87=0,$A87="S",$A87&gt;CFF!$A$9),"",MAX(V$12:OFFSET(V87,-1,0))+1)</f>
        <v/>
      </c>
      <c r="W87" s="4" t="b">
        <f t="shared" ref="W87:W88" si="40">IF(AND($J87="Serviço",$M87&lt;&gt;""),IF($L87="",$M87,CONCATENATE($L87,"-",$M87)))</f>
        <v>0</v>
      </c>
      <c r="X87" s="1" t="str">
        <f t="shared" ca="1" si="30"/>
        <v>X</v>
      </c>
      <c r="Y87" s="103">
        <v>0</v>
      </c>
      <c r="Z87" s="113">
        <f ca="1">ROUND(IF(ISNUMBER(R87),R87,IF(LEFT(R87,3)="BDI",HLOOKUP(R87,DADOS!$T$37:$X$38,2,FALSE),0)),15-11*$X$5)</f>
        <v>0.21390000000000001</v>
      </c>
      <c r="AA87" s="1"/>
    </row>
    <row r="88" spans="1:27" ht="25.5" x14ac:dyDescent="0.2">
      <c r="A88" t="str">
        <f t="shared" si="31"/>
        <v>S</v>
      </c>
      <c r="B88">
        <f t="shared" si="32"/>
        <v>0</v>
      </c>
      <c r="C88">
        <f t="shared" ca="1" si="33"/>
        <v>1</v>
      </c>
      <c r="D88">
        <f t="shared" ca="1" si="34"/>
        <v>5</v>
      </c>
      <c r="E88">
        <f t="shared" ca="1" si="35"/>
        <v>1</v>
      </c>
      <c r="F88">
        <f t="shared" ca="1" si="36"/>
        <v>0</v>
      </c>
      <c r="G88">
        <f t="shared" ca="1" si="37"/>
        <v>1</v>
      </c>
      <c r="H88">
        <f t="shared" ca="1" si="26"/>
        <v>0</v>
      </c>
      <c r="I88">
        <f t="shared" ca="1" si="27"/>
        <v>0</v>
      </c>
      <c r="J88" s="353" t="s">
        <v>103</v>
      </c>
      <c r="K88" s="138" t="str">
        <f t="shared" ca="1" si="38"/>
        <v>1.5.1.0.1.</v>
      </c>
      <c r="L88" s="355" t="s">
        <v>231</v>
      </c>
      <c r="M88" s="355" t="s">
        <v>253</v>
      </c>
      <c r="N88" s="357" t="s">
        <v>502</v>
      </c>
      <c r="O88" s="358" t="s">
        <v>628</v>
      </c>
      <c r="P88" s="359">
        <f>0.15*(P90+P91)</f>
        <v>189.40799999999999</v>
      </c>
      <c r="Q88" s="195"/>
      <c r="R88" s="198" t="s">
        <v>7</v>
      </c>
      <c r="S88" s="103">
        <f t="shared" si="28"/>
        <v>0</v>
      </c>
      <c r="T88" s="83">
        <f t="shared" si="29"/>
        <v>0</v>
      </c>
      <c r="U88" s="9" t="str">
        <f t="shared" si="39"/>
        <v>SEM VALOR</v>
      </c>
      <c r="V88" s="1" t="str">
        <f ca="1">IF(OR($A88=0,$A88="S",$A88&gt;CFF!$A$9),"",MAX(V$12:OFFSET(V88,-1,0))+1)</f>
        <v/>
      </c>
      <c r="W88" s="4" t="str">
        <f t="shared" si="40"/>
        <v>SINAPI-92543</v>
      </c>
      <c r="X88" s="1">
        <f t="shared" ca="1" si="30"/>
        <v>8631</v>
      </c>
      <c r="Y88" s="103">
        <v>23.49</v>
      </c>
      <c r="Z88" s="113">
        <f ca="1">ROUND(IF(ISNUMBER(R88),R88,IF(LEFT(R88,3)="BDI",HLOOKUP(R88,DADOS!$T$37:$X$38,2,FALSE),0)),15-11*$X$5)</f>
        <v>0.21390000000000001</v>
      </c>
      <c r="AA88" s="1"/>
    </row>
    <row r="89" spans="1:27" x14ac:dyDescent="0.2">
      <c r="A89">
        <f t="shared" si="16"/>
        <v>3</v>
      </c>
      <c r="B89">
        <f t="shared" ca="1" si="17"/>
        <v>5</v>
      </c>
      <c r="C89">
        <f t="shared" ca="1" si="18"/>
        <v>1</v>
      </c>
      <c r="D89">
        <f t="shared" ca="1" si="19"/>
        <v>5</v>
      </c>
      <c r="E89">
        <f t="shared" ca="1" si="20"/>
        <v>2</v>
      </c>
      <c r="F89">
        <f t="shared" ca="1" si="21"/>
        <v>0</v>
      </c>
      <c r="G89">
        <f t="shared" ca="1" si="22"/>
        <v>0</v>
      </c>
      <c r="H89">
        <f t="shared" ca="1" si="26"/>
        <v>5</v>
      </c>
      <c r="I89">
        <f t="shared" ca="1" si="27"/>
        <v>18</v>
      </c>
      <c r="J89" s="353" t="s">
        <v>101</v>
      </c>
      <c r="K89" s="138" t="str">
        <f t="shared" ca="1" si="23"/>
        <v>1.5.2.</v>
      </c>
      <c r="L89" s="355"/>
      <c r="M89" s="355"/>
      <c r="N89" s="357" t="s">
        <v>448</v>
      </c>
      <c r="O89" s="358" t="s">
        <v>106</v>
      </c>
      <c r="P89" s="359"/>
      <c r="Q89" s="195"/>
      <c r="R89" s="198" t="s">
        <v>7</v>
      </c>
      <c r="S89" s="103">
        <f t="shared" si="13"/>
        <v>0</v>
      </c>
      <c r="T89" s="83">
        <f t="shared" ca="1" si="14"/>
        <v>0</v>
      </c>
      <c r="U89" s="9" t="str">
        <f t="shared" ca="1" si="24"/>
        <v>SEM VALOR</v>
      </c>
      <c r="V89" s="1" t="str">
        <f ca="1">IF(OR($A89=0,$A89="S",$A89&gt;CFF!$A$9),"",MAX(V$12:OFFSET(V89,-1,0))+1)</f>
        <v/>
      </c>
      <c r="W89" s="4" t="b">
        <f t="shared" si="25"/>
        <v>0</v>
      </c>
      <c r="X89" s="1" t="str">
        <f t="shared" ca="1" si="15"/>
        <v>X</v>
      </c>
      <c r="Y89" s="103">
        <v>0</v>
      </c>
      <c r="Z89" s="113">
        <f ca="1">ROUND(IF(ISNUMBER(R89),R89,IF(LEFT(R89,3)="BDI",HLOOKUP(R89,DADOS!$T$37:$X$38,2,FALSE),0)),15-11*$X$5)</f>
        <v>0.21390000000000001</v>
      </c>
      <c r="AA89" s="1"/>
    </row>
    <row r="90" spans="1:27" x14ac:dyDescent="0.2">
      <c r="A90" t="str">
        <f t="shared" si="16"/>
        <v>S</v>
      </c>
      <c r="B90">
        <f t="shared" si="17"/>
        <v>0</v>
      </c>
      <c r="C90">
        <f t="shared" ca="1" si="18"/>
        <v>1</v>
      </c>
      <c r="D90">
        <f t="shared" ca="1" si="19"/>
        <v>5</v>
      </c>
      <c r="E90">
        <f t="shared" ca="1" si="20"/>
        <v>2</v>
      </c>
      <c r="F90">
        <f t="shared" ca="1" si="21"/>
        <v>0</v>
      </c>
      <c r="G90">
        <f t="shared" ca="1" si="22"/>
        <v>1</v>
      </c>
      <c r="H90">
        <f t="shared" ca="1" si="26"/>
        <v>0</v>
      </c>
      <c r="I90">
        <f t="shared" ca="1" si="27"/>
        <v>0</v>
      </c>
      <c r="J90" s="353" t="s">
        <v>103</v>
      </c>
      <c r="K90" s="138" t="str">
        <f t="shared" ca="1" si="23"/>
        <v>1.5.2.0.1.</v>
      </c>
      <c r="L90" s="355" t="s">
        <v>231</v>
      </c>
      <c r="M90" s="355" t="s">
        <v>269</v>
      </c>
      <c r="N90" s="357" t="s">
        <v>503</v>
      </c>
      <c r="O90" s="358" t="s">
        <v>628</v>
      </c>
      <c r="P90" s="359">
        <f>1262.72-76.25-328.54+76.25</f>
        <v>934.18000000000006</v>
      </c>
      <c r="Q90" s="195"/>
      <c r="R90" s="198" t="s">
        <v>7</v>
      </c>
      <c r="S90" s="103">
        <f t="shared" si="13"/>
        <v>0</v>
      </c>
      <c r="T90" s="83">
        <f t="shared" si="14"/>
        <v>0</v>
      </c>
      <c r="U90" s="9" t="str">
        <f t="shared" si="24"/>
        <v>SEM VALOR</v>
      </c>
      <c r="V90" s="1" t="str">
        <f ca="1">IF(OR($A90=0,$A90="S",$A90&gt;CFF!$A$9),"",MAX(V$12:OFFSET(V90,-1,0))+1)</f>
        <v/>
      </c>
      <c r="W90" s="4" t="str">
        <f t="shared" si="25"/>
        <v>SINAPI-94213</v>
      </c>
      <c r="X90" s="1">
        <f t="shared" ca="1" si="15"/>
        <v>13924</v>
      </c>
      <c r="Y90" s="103">
        <v>78.819999999999993</v>
      </c>
      <c r="Z90" s="113">
        <f ca="1">ROUND(IF(ISNUMBER(R90),R90,IF(LEFT(R90,3)="BDI",HLOOKUP(R90,DADOS!$T$37:$X$38,2,FALSE),0)),15-11*$X$5)</f>
        <v>0.21390000000000001</v>
      </c>
      <c r="AA90" s="1"/>
    </row>
    <row r="91" spans="1:27" ht="25.5" x14ac:dyDescent="0.2">
      <c r="A91" t="str">
        <f>CHOOSE(1+LOG(1+2*(J91="Meta")+4*(J91="Nível 2")+8*(J91="Nível 3")+16*(J91="Nível 4")+32*(J91="Serviço"),2),0,1,2,3,4,"S")</f>
        <v>S</v>
      </c>
      <c r="B91">
        <f>IF(OR(A91="S",A91=0),0,IF(ISERROR(I91),H91,SMALL(H91:I91,1)))</f>
        <v>0</v>
      </c>
      <c r="C91">
        <f ca="1">IF($A91=1,OFFSET(C91,-1,0)+1,OFFSET(C91,-1,0))</f>
        <v>1</v>
      </c>
      <c r="D91">
        <f ca="1">IF($A91=1,0,IF($A91=2,OFFSET(D91,-1,0)+1,OFFSET(D91,-1,0)))</f>
        <v>5</v>
      </c>
      <c r="E91">
        <f ca="1">IF(AND($A91&lt;=2,$A91&lt;&gt;0),0,IF($A91=3,OFFSET(E91,-1,0)+1,OFFSET(E91,-1,0)))</f>
        <v>2</v>
      </c>
      <c r="F91">
        <f ca="1">IF(AND($A91&lt;=3,$A91&lt;&gt;0),0,IF($A91=4,OFFSET(F91,-1,0)+1,OFFSET(F91,-1,0)))</f>
        <v>0</v>
      </c>
      <c r="G91">
        <f ca="1">IF(AND($A91&lt;=4,$A91&lt;&gt;0),0,IF($A91="S",OFFSET(G91,-1,0)+1,OFFSET(G91,-1,0)))</f>
        <v>2</v>
      </c>
      <c r="H91">
        <f t="shared" ca="1" si="26"/>
        <v>0</v>
      </c>
      <c r="I91">
        <f t="shared" ca="1" si="27"/>
        <v>0</v>
      </c>
      <c r="J91" s="353" t="s">
        <v>103</v>
      </c>
      <c r="K91" s="138" t="str">
        <f ca="1">IF($A91=0,"-",CONCATENATE(C91&amp;".",IF(AND($A$5&gt;=2,$A91&gt;=2),D91&amp;".",""),IF(AND($A$5&gt;=3,$A91&gt;=3),E91&amp;".",""),IF(AND($A$5&gt;=4,$A91&gt;=4),F91&amp;".",""),IF($A91="S",G91&amp;".","")))</f>
        <v>1.5.2.0.2.</v>
      </c>
      <c r="L91" s="355" t="s">
        <v>231</v>
      </c>
      <c r="M91" s="355" t="s">
        <v>351</v>
      </c>
      <c r="N91" s="357" t="s">
        <v>504</v>
      </c>
      <c r="O91" s="358" t="s">
        <v>628</v>
      </c>
      <c r="P91" s="359">
        <v>328.54</v>
      </c>
      <c r="Q91" s="195"/>
      <c r="R91" s="198" t="s">
        <v>7</v>
      </c>
      <c r="S91" s="103">
        <f>IF($A91="S",IF($Q$10="Preço Unitário (R$)",PO.CustoUnitario,ROUND(PO.CustoUnitario*(1+$Z91),15-13*$X$6)),0)</f>
        <v>0</v>
      </c>
      <c r="T91" s="83">
        <f>IF($A91="S",VTOTAL1,IF($A91=0,0,ROUND(SomaAgrup,15-13*$X$7)))</f>
        <v>0</v>
      </c>
      <c r="U91" s="9" t="str">
        <f>IF($J91="","",IF($N91="","DESCRIÇÃO",IF(AND($J91="Serviço",$O91=""),"UNIDADE",IF($T91&lt;=0,"SEM VALOR",IF(AND($Y91&lt;&gt;"",$Q91&gt;$Y91),"ACIMA REF.","")))))</f>
        <v>SEM VALOR</v>
      </c>
      <c r="V91" s="1" t="str">
        <f ca="1">IF(OR($A91=0,$A91="S",$A91&gt;CFF!$A$9),"",MAX(V$12:OFFSET(V91,-1,0))+1)</f>
        <v/>
      </c>
      <c r="W91" s="4" t="str">
        <f>IF(AND($J91="Serviço",$M91&lt;&gt;""),IF($L91="",$M91,CONCATENATE($L91,"-",$M91)))</f>
        <v>SINAPI-94216</v>
      </c>
      <c r="X91" s="1">
        <f ca="1">IF(AND(Fonte&lt;&gt;"",Código&lt;&gt;""),MATCH(Fonte&amp;" "&amp;IF(Fonte="sinapi",SUBSTITUTE(SUBSTITUTE(Código,"/00","/"),"/0","/"),Código),INDIRECT("'[Referência "&amp;_xlnm.Database&amp;".xls]Banco'!$a:$a"),0),"X")</f>
        <v>13929</v>
      </c>
      <c r="Y91" s="103">
        <v>219.36</v>
      </c>
      <c r="Z91" s="113">
        <f ca="1">ROUND(IF(ISNUMBER(R91),R91,IF(LEFT(R91,3)="BDI",HLOOKUP(R91,DADOS!$T$37:$X$38,2,FALSE),0)),15-11*$X$5)</f>
        <v>0.21390000000000001</v>
      </c>
      <c r="AA91" s="1"/>
    </row>
    <row r="92" spans="1:27" ht="25.5" x14ac:dyDescent="0.2">
      <c r="A92" t="str">
        <f t="shared" si="16"/>
        <v>S</v>
      </c>
      <c r="B92">
        <f t="shared" si="17"/>
        <v>0</v>
      </c>
      <c r="C92">
        <f t="shared" ca="1" si="18"/>
        <v>1</v>
      </c>
      <c r="D92">
        <f t="shared" ca="1" si="19"/>
        <v>5</v>
      </c>
      <c r="E92">
        <f t="shared" ca="1" si="20"/>
        <v>2</v>
      </c>
      <c r="F92">
        <f t="shared" ca="1" si="21"/>
        <v>0</v>
      </c>
      <c r="G92">
        <f t="shared" ca="1" si="22"/>
        <v>3</v>
      </c>
      <c r="H92">
        <f t="shared" ca="1" si="26"/>
        <v>0</v>
      </c>
      <c r="I92">
        <f t="shared" ca="1" si="27"/>
        <v>0</v>
      </c>
      <c r="J92" s="353" t="s">
        <v>103</v>
      </c>
      <c r="K92" s="138" t="str">
        <f t="shared" ca="1" si="23"/>
        <v>1.5.2.0.3.</v>
      </c>
      <c r="L92" s="355" t="s">
        <v>231</v>
      </c>
      <c r="M92" s="355" t="s">
        <v>267</v>
      </c>
      <c r="N92" s="357" t="s">
        <v>505</v>
      </c>
      <c r="O92" s="358" t="s">
        <v>633</v>
      </c>
      <c r="P92" s="359">
        <f>(P90+P91)*0.2</f>
        <v>252.54400000000001</v>
      </c>
      <c r="Q92" s="195"/>
      <c r="R92" s="198" t="s">
        <v>7</v>
      </c>
      <c r="S92" s="103">
        <f t="shared" si="13"/>
        <v>0</v>
      </c>
      <c r="T92" s="83">
        <f t="shared" si="14"/>
        <v>0</v>
      </c>
      <c r="U92" s="9" t="str">
        <f t="shared" si="24"/>
        <v>SEM VALOR</v>
      </c>
      <c r="V92" s="1" t="str">
        <f ca="1">IF(OR($A92=0,$A92="S",$A92&gt;CFF!$A$9),"",MAX(V$12:OFFSET(V92,-1,0))+1)</f>
        <v/>
      </c>
      <c r="W92" s="4" t="str">
        <f t="shared" si="25"/>
        <v>SINAPI-100275</v>
      </c>
      <c r="X92" s="1">
        <f t="shared" ca="1" si="15"/>
        <v>14106</v>
      </c>
      <c r="Y92" s="103">
        <v>23.71</v>
      </c>
      <c r="Z92" s="113">
        <f ca="1">ROUND(IF(ISNUMBER(R92),R92,IF(LEFT(R92,3)="BDI",HLOOKUP(R92,DADOS!$T$37:$X$38,2,FALSE),0)),15-11*$X$5)</f>
        <v>0.21390000000000001</v>
      </c>
      <c r="AA92" s="1"/>
    </row>
    <row r="93" spans="1:27" ht="25.5" x14ac:dyDescent="0.2">
      <c r="A93" t="str">
        <f t="shared" si="16"/>
        <v>S</v>
      </c>
      <c r="B93">
        <f t="shared" si="17"/>
        <v>0</v>
      </c>
      <c r="C93">
        <f t="shared" ca="1" si="18"/>
        <v>1</v>
      </c>
      <c r="D93">
        <f t="shared" ca="1" si="19"/>
        <v>5</v>
      </c>
      <c r="E93">
        <f t="shared" ca="1" si="20"/>
        <v>2</v>
      </c>
      <c r="F93">
        <f t="shared" ca="1" si="21"/>
        <v>0</v>
      </c>
      <c r="G93">
        <f t="shared" ca="1" si="22"/>
        <v>4</v>
      </c>
      <c r="H93">
        <f t="shared" ca="1" si="26"/>
        <v>0</v>
      </c>
      <c r="I93">
        <f t="shared" ca="1" si="27"/>
        <v>0</v>
      </c>
      <c r="J93" s="353" t="s">
        <v>103</v>
      </c>
      <c r="K93" s="138" t="str">
        <f t="shared" ca="1" si="23"/>
        <v>1.5.2.0.4.</v>
      </c>
      <c r="L93" s="355" t="s">
        <v>237</v>
      </c>
      <c r="M93" s="355" t="s">
        <v>268</v>
      </c>
      <c r="N93" s="357" t="s">
        <v>506</v>
      </c>
      <c r="O93" s="358" t="s">
        <v>632</v>
      </c>
      <c r="P93" s="359">
        <f>155.63-19.35+19.35</f>
        <v>155.63</v>
      </c>
      <c r="Q93" s="195"/>
      <c r="R93" s="198" t="s">
        <v>7</v>
      </c>
      <c r="S93" s="103">
        <f t="shared" si="13"/>
        <v>0</v>
      </c>
      <c r="T93" s="83">
        <f t="shared" si="14"/>
        <v>0</v>
      </c>
      <c r="U93" s="9" t="str">
        <f t="shared" si="24"/>
        <v>SEM VALOR</v>
      </c>
      <c r="V93" s="1" t="str">
        <f ca="1">IF(OR($A93=0,$A93="S",$A93&gt;CFF!$A$9),"",MAX(V$12:OFFSET(V93,-1,0))+1)</f>
        <v/>
      </c>
      <c r="W93" s="4" t="str">
        <f t="shared" si="25"/>
        <v>PM BENTO-122</v>
      </c>
      <c r="X93" s="1">
        <f t="shared" ca="1" si="15"/>
        <v>49</v>
      </c>
      <c r="Y93" s="103">
        <v>118.6</v>
      </c>
      <c r="Z93" s="113">
        <f ca="1">ROUND(IF(ISNUMBER(R93),R93,IF(LEFT(R93,3)="BDI",HLOOKUP(R93,DADOS!$T$37:$X$38,2,FALSE),0)),15-11*$X$5)</f>
        <v>0.21390000000000001</v>
      </c>
      <c r="AA93" s="1"/>
    </row>
    <row r="94" spans="1:27" x14ac:dyDescent="0.2">
      <c r="A94">
        <f t="shared" si="16"/>
        <v>2</v>
      </c>
      <c r="B94">
        <f t="shared" ca="1" si="17"/>
        <v>6</v>
      </c>
      <c r="C94">
        <f t="shared" ca="1" si="18"/>
        <v>1</v>
      </c>
      <c r="D94">
        <f t="shared" ca="1" si="19"/>
        <v>6</v>
      </c>
      <c r="E94">
        <f t="shared" ca="1" si="20"/>
        <v>0</v>
      </c>
      <c r="F94">
        <f t="shared" ca="1" si="21"/>
        <v>0</v>
      </c>
      <c r="G94">
        <f t="shared" ca="1" si="22"/>
        <v>0</v>
      </c>
      <c r="H94">
        <f t="shared" ca="1" si="26"/>
        <v>148</v>
      </c>
      <c r="I94">
        <f t="shared" ca="1" si="27"/>
        <v>6</v>
      </c>
      <c r="J94" s="353" t="s">
        <v>100</v>
      </c>
      <c r="K94" s="138" t="str">
        <f t="shared" ca="1" si="23"/>
        <v>1.6.</v>
      </c>
      <c r="L94" s="355"/>
      <c r="M94" s="355"/>
      <c r="N94" s="357" t="s">
        <v>281</v>
      </c>
      <c r="O94" s="358" t="s">
        <v>106</v>
      </c>
      <c r="P94" s="359"/>
      <c r="Q94" s="195"/>
      <c r="R94" s="198" t="s">
        <v>7</v>
      </c>
      <c r="S94" s="103">
        <f t="shared" si="13"/>
        <v>0</v>
      </c>
      <c r="T94" s="83">
        <f t="shared" ca="1" si="14"/>
        <v>0</v>
      </c>
      <c r="U94" s="9" t="str">
        <f t="shared" ca="1" si="24"/>
        <v>SEM VALOR</v>
      </c>
      <c r="V94" s="1" t="str">
        <f ca="1">IF(OR($A94=0,$A94="S",$A94&gt;CFF!$A$9),"",MAX(V$12:OFFSET(V94,-1,0))+1)</f>
        <v/>
      </c>
      <c r="W94" s="4" t="b">
        <f t="shared" si="25"/>
        <v>0</v>
      </c>
      <c r="X94" s="1" t="str">
        <f t="shared" ca="1" si="15"/>
        <v>X</v>
      </c>
      <c r="Y94" s="103">
        <v>0</v>
      </c>
      <c r="Z94" s="113">
        <f ca="1">ROUND(IF(ISNUMBER(R94),R94,IF(LEFT(R94,3)="BDI",HLOOKUP(R94,DADOS!$T$37:$X$38,2,FALSE),0)),15-11*$X$5)</f>
        <v>0.21390000000000001</v>
      </c>
      <c r="AA94" s="1"/>
    </row>
    <row r="95" spans="1:27" ht="25.5" x14ac:dyDescent="0.2">
      <c r="A95" t="str">
        <f t="shared" si="16"/>
        <v>S</v>
      </c>
      <c r="B95">
        <f t="shared" si="17"/>
        <v>0</v>
      </c>
      <c r="C95">
        <f t="shared" ca="1" si="18"/>
        <v>1</v>
      </c>
      <c r="D95">
        <f t="shared" ca="1" si="19"/>
        <v>6</v>
      </c>
      <c r="E95">
        <f t="shared" ca="1" si="20"/>
        <v>0</v>
      </c>
      <c r="F95">
        <f t="shared" ca="1" si="21"/>
        <v>0</v>
      </c>
      <c r="G95">
        <f t="shared" ca="1" si="22"/>
        <v>1</v>
      </c>
      <c r="H95">
        <f t="shared" ca="1" si="26"/>
        <v>0</v>
      </c>
      <c r="I95">
        <f t="shared" ca="1" si="27"/>
        <v>0</v>
      </c>
      <c r="J95" s="353" t="s">
        <v>103</v>
      </c>
      <c r="K95" s="138" t="str">
        <f t="shared" ca="1" si="23"/>
        <v>1.6.0.0.1.</v>
      </c>
      <c r="L95" s="355" t="s">
        <v>231</v>
      </c>
      <c r="M95" s="355" t="s">
        <v>252</v>
      </c>
      <c r="N95" s="357" t="s">
        <v>507</v>
      </c>
      <c r="O95" s="358" t="s">
        <v>632</v>
      </c>
      <c r="P95" s="359">
        <f>7+7+7+6.45</f>
        <v>27.45</v>
      </c>
      <c r="Q95" s="195"/>
      <c r="R95" s="198" t="s">
        <v>7</v>
      </c>
      <c r="S95" s="103">
        <f t="shared" si="13"/>
        <v>0</v>
      </c>
      <c r="T95" s="83">
        <f t="shared" si="14"/>
        <v>0</v>
      </c>
      <c r="U95" s="9" t="str">
        <f t="shared" si="24"/>
        <v>SEM VALOR</v>
      </c>
      <c r="V95" s="1" t="str">
        <f ca="1">IF(OR($A95=0,$A95="S",$A95&gt;CFF!$A$9),"",MAX(V$12:OFFSET(V95,-1,0))+1)</f>
        <v/>
      </c>
      <c r="W95" s="4" t="str">
        <f t="shared" si="25"/>
        <v>SINAPI-94228</v>
      </c>
      <c r="X95" s="1">
        <f t="shared" ca="1" si="15"/>
        <v>13893</v>
      </c>
      <c r="Y95" s="103">
        <v>118.4</v>
      </c>
      <c r="Z95" s="113">
        <f ca="1">ROUND(IF(ISNUMBER(R95),R95,IF(LEFT(R95,3)="BDI",HLOOKUP(R95,DADOS!$T$37:$X$38,2,FALSE),0)),15-11*$X$5)</f>
        <v>0.21390000000000001</v>
      </c>
      <c r="AA95" s="1"/>
    </row>
    <row r="96" spans="1:27" ht="25.5" x14ac:dyDescent="0.2">
      <c r="A96" t="str">
        <f t="shared" si="16"/>
        <v>S</v>
      </c>
      <c r="B96">
        <f t="shared" si="17"/>
        <v>0</v>
      </c>
      <c r="C96">
        <f t="shared" ca="1" si="18"/>
        <v>1</v>
      </c>
      <c r="D96">
        <f t="shared" ca="1" si="19"/>
        <v>6</v>
      </c>
      <c r="E96">
        <f t="shared" ca="1" si="20"/>
        <v>0</v>
      </c>
      <c r="F96">
        <f t="shared" ca="1" si="21"/>
        <v>0</v>
      </c>
      <c r="G96">
        <f t="shared" ca="1" si="22"/>
        <v>2</v>
      </c>
      <c r="H96">
        <f t="shared" ca="1" si="26"/>
        <v>0</v>
      </c>
      <c r="I96">
        <f t="shared" ca="1" si="27"/>
        <v>0</v>
      </c>
      <c r="J96" s="353" t="s">
        <v>103</v>
      </c>
      <c r="K96" s="138" t="str">
        <f t="shared" ca="1" si="23"/>
        <v>1.6.0.0.2.</v>
      </c>
      <c r="L96" s="355" t="s">
        <v>237</v>
      </c>
      <c r="M96" s="355" t="s">
        <v>327</v>
      </c>
      <c r="N96" s="357" t="s">
        <v>508</v>
      </c>
      <c r="O96" s="358" t="s">
        <v>632</v>
      </c>
      <c r="P96" s="359">
        <f>140.29-24.3+24.3</f>
        <v>140.29</v>
      </c>
      <c r="Q96" s="195"/>
      <c r="R96" s="198" t="s">
        <v>7</v>
      </c>
      <c r="S96" s="103">
        <f t="shared" si="13"/>
        <v>0</v>
      </c>
      <c r="T96" s="83">
        <f t="shared" si="14"/>
        <v>0</v>
      </c>
      <c r="U96" s="9" t="str">
        <f t="shared" si="24"/>
        <v>SEM VALOR</v>
      </c>
      <c r="V96" s="1" t="str">
        <f ca="1">IF(OR($A96=0,$A96="S",$A96&gt;CFF!$A$9),"",MAX(V$12:OFFSET(V96,-1,0))+1)</f>
        <v/>
      </c>
      <c r="W96" s="4" t="str">
        <f t="shared" si="25"/>
        <v>PM BENTO-157</v>
      </c>
      <c r="X96" s="1">
        <f t="shared" ca="1" si="15"/>
        <v>85</v>
      </c>
      <c r="Y96" s="103">
        <v>99.59</v>
      </c>
      <c r="Z96" s="113">
        <f ca="1">ROUND(IF(ISNUMBER(R96),R96,IF(LEFT(R96,3)="BDI",HLOOKUP(R96,DADOS!$T$37:$X$38,2,FALSE),0)),15-11*$X$5)</f>
        <v>0.21390000000000001</v>
      </c>
      <c r="AA96" s="1"/>
    </row>
    <row r="97" spans="1:27" x14ac:dyDescent="0.2">
      <c r="A97" t="str">
        <f>CHOOSE(1+LOG(1+2*(J97="Meta")+4*(J97="Nível 2")+8*(J97="Nível 3")+16*(J97="Nível 4")+32*(J97="Serviço"),2),0,1,2,3,4,"S")</f>
        <v>S</v>
      </c>
      <c r="B97">
        <f>IF(OR(A97="S",A97=0),0,IF(ISERROR(I97),H97,SMALL(H97:I97,1)))</f>
        <v>0</v>
      </c>
      <c r="C97">
        <f ca="1">IF($A97=1,OFFSET(C97,-1,0)+1,OFFSET(C97,-1,0))</f>
        <v>1</v>
      </c>
      <c r="D97">
        <f ca="1">IF($A97=1,0,IF($A97=2,OFFSET(D97,-1,0)+1,OFFSET(D97,-1,0)))</f>
        <v>6</v>
      </c>
      <c r="E97">
        <f ca="1">IF(AND($A97&lt;=2,$A97&lt;&gt;0),0,IF($A97=3,OFFSET(E97,-1,0)+1,OFFSET(E97,-1,0)))</f>
        <v>0</v>
      </c>
      <c r="F97">
        <f ca="1">IF(AND($A97&lt;=3,$A97&lt;&gt;0),0,IF($A97=4,OFFSET(F97,-1,0)+1,OFFSET(F97,-1,0)))</f>
        <v>0</v>
      </c>
      <c r="G97">
        <f ca="1">IF(AND($A97&lt;=4,$A97&lt;&gt;0),0,IF($A97="S",OFFSET(G97,-1,0)+1,OFFSET(G97,-1,0)))</f>
        <v>3</v>
      </c>
      <c r="H97">
        <f t="shared" ca="1" si="26"/>
        <v>0</v>
      </c>
      <c r="I97">
        <f t="shared" ca="1" si="27"/>
        <v>0</v>
      </c>
      <c r="J97" s="353" t="s">
        <v>103</v>
      </c>
      <c r="K97" s="138" t="str">
        <f ca="1">IF($A97=0,"-",CONCATENATE(C97&amp;".",IF(AND($A$5&gt;=2,$A97&gt;=2),D97&amp;".",""),IF(AND($A$5&gt;=3,$A97&gt;=3),E97&amp;".",""),IF(AND($A$5&gt;=4,$A97&gt;=4),F97&amp;".",""),IF($A97="S",G97&amp;".","")))</f>
        <v>1.6.0.0.3.</v>
      </c>
      <c r="L97" s="355" t="s">
        <v>237</v>
      </c>
      <c r="M97" s="355" t="s">
        <v>346</v>
      </c>
      <c r="N97" s="357" t="s">
        <v>509</v>
      </c>
      <c r="O97" s="358" t="s">
        <v>632</v>
      </c>
      <c r="P97" s="359">
        <v>18.239999999999998</v>
      </c>
      <c r="Q97" s="195"/>
      <c r="R97" s="198" t="s">
        <v>7</v>
      </c>
      <c r="S97" s="103">
        <f>IF($A97="S",IF($Q$10="Preço Unitário (R$)",PO.CustoUnitario,ROUND(PO.CustoUnitario*(1+$Z97),15-13*$X$6)),0)</f>
        <v>0</v>
      </c>
      <c r="T97" s="83">
        <f>IF($A97="S",VTOTAL1,IF($A97=0,0,ROUND(SomaAgrup,15-13*$X$7)))</f>
        <v>0</v>
      </c>
      <c r="U97" s="9" t="str">
        <f>IF($J97="","",IF($N97="","DESCRIÇÃO",IF(AND($J97="Serviço",$O97=""),"UNIDADE",IF($T97&lt;=0,"SEM VALOR",IF(AND($Y97&lt;&gt;"",$Q97&gt;$Y97),"ACIMA REF.","")))))</f>
        <v>SEM VALOR</v>
      </c>
      <c r="V97" s="1" t="str">
        <f ca="1">IF(OR($A97=0,$A97="S",$A97&gt;CFF!$A$9),"",MAX(V$12:OFFSET(V97,-1,0))+1)</f>
        <v/>
      </c>
      <c r="W97" s="4" t="str">
        <f>IF(AND($J97="Serviço",$M97&lt;&gt;""),IF($L97="",$M97,CONCATENATE($L97,"-",$M97)))</f>
        <v>PM BENTO-161</v>
      </c>
      <c r="X97" s="1">
        <f ca="1">IF(AND(Fonte&lt;&gt;"",Código&lt;&gt;""),MATCH(Fonte&amp;" "&amp;IF(Fonte="sinapi",SUBSTITUTE(SUBSTITUTE(Código,"/00","/"),"/0","/"),Código),INDIRECT("'[Referência "&amp;_xlnm.Database&amp;".xls]Banco'!$a:$a"),0),"X")</f>
        <v>89</v>
      </c>
      <c r="Y97" s="103">
        <v>43.71</v>
      </c>
      <c r="Z97" s="113">
        <f ca="1">ROUND(IF(ISNUMBER(R97),R97,IF(LEFT(R97,3)="BDI",HLOOKUP(R97,DADOS!$T$37:$X$38,2,FALSE),0)),15-11*$X$5)</f>
        <v>0.21390000000000001</v>
      </c>
      <c r="AA97" s="1"/>
    </row>
    <row r="98" spans="1:27" ht="25.5" x14ac:dyDescent="0.2">
      <c r="A98" t="str">
        <f>CHOOSE(1+LOG(1+2*(J98="Meta")+4*(J98="Nível 2")+8*(J98="Nível 3")+16*(J98="Nível 4")+32*(J98="Serviço"),2),0,1,2,3,4,"S")</f>
        <v>S</v>
      </c>
      <c r="B98">
        <f>IF(OR(A98="S",A98=0),0,IF(ISERROR(I98),H98,SMALL(H98:I98,1)))</f>
        <v>0</v>
      </c>
      <c r="C98">
        <f ca="1">IF($A98=1,OFFSET(C98,-1,0)+1,OFFSET(C98,-1,0))</f>
        <v>1</v>
      </c>
      <c r="D98">
        <f ca="1">IF($A98=1,0,IF($A98=2,OFFSET(D98,-1,0)+1,OFFSET(D98,-1,0)))</f>
        <v>6</v>
      </c>
      <c r="E98">
        <f ca="1">IF(AND($A98&lt;=2,$A98&lt;&gt;0),0,IF($A98=3,OFFSET(E98,-1,0)+1,OFFSET(E98,-1,0)))</f>
        <v>0</v>
      </c>
      <c r="F98">
        <f ca="1">IF(AND($A98&lt;=3,$A98&lt;&gt;0),0,IF($A98=4,OFFSET(F98,-1,0)+1,OFFSET(F98,-1,0)))</f>
        <v>0</v>
      </c>
      <c r="G98">
        <f ca="1">IF(AND($A98&lt;=4,$A98&lt;&gt;0),0,IF($A98="S",OFFSET(G98,-1,0)+1,OFFSET(G98,-1,0)))</f>
        <v>4</v>
      </c>
      <c r="H98">
        <f t="shared" ca="1" si="26"/>
        <v>0</v>
      </c>
      <c r="I98">
        <f t="shared" ca="1" si="27"/>
        <v>0</v>
      </c>
      <c r="J98" s="353" t="s">
        <v>103</v>
      </c>
      <c r="K98" s="138" t="str">
        <f ca="1">IF($A98=0,"-",CONCATENATE(C98&amp;".",IF(AND($A$5&gt;=2,$A98&gt;=2),D98&amp;".",""),IF(AND($A$5&gt;=3,$A98&gt;=3),E98&amp;".",""),IF(AND($A$5&gt;=4,$A98&gt;=4),F98&amp;".",""),IF($A98="S",G98&amp;".","")))</f>
        <v>1.6.0.0.4.</v>
      </c>
      <c r="L98" s="355" t="s">
        <v>237</v>
      </c>
      <c r="M98" s="355" t="s">
        <v>347</v>
      </c>
      <c r="N98" s="357" t="s">
        <v>510</v>
      </c>
      <c r="O98" s="358" t="s">
        <v>632</v>
      </c>
      <c r="P98" s="359">
        <v>43.59</v>
      </c>
      <c r="Q98" s="195"/>
      <c r="R98" s="198" t="s">
        <v>7</v>
      </c>
      <c r="S98" s="103">
        <f>IF($A98="S",IF($Q$10="Preço Unitário (R$)",PO.CustoUnitario,ROUND(PO.CustoUnitario*(1+$Z98),15-13*$X$6)),0)</f>
        <v>0</v>
      </c>
      <c r="T98" s="83">
        <f>IF($A98="S",VTOTAL1,IF($A98=0,0,ROUND(SomaAgrup,15-13*$X$7)))</f>
        <v>0</v>
      </c>
      <c r="U98" s="9" t="str">
        <f>IF($J98="","",IF($N98="","DESCRIÇÃO",IF(AND($J98="Serviço",$O98=""),"UNIDADE",IF($T98&lt;=0,"SEM VALOR",IF(AND($Y98&lt;&gt;"",$Q98&gt;$Y98),"ACIMA REF.","")))))</f>
        <v>SEM VALOR</v>
      </c>
      <c r="V98" s="1" t="str">
        <f ca="1">IF(OR($A98=0,$A98="S",$A98&gt;CFF!$A$9),"",MAX(V$12:OFFSET(V98,-1,0))+1)</f>
        <v/>
      </c>
      <c r="W98" s="4" t="str">
        <f>IF(AND($J98="Serviço",$M98&lt;&gt;""),IF($L98="",$M98,CONCATENATE($L98,"-",$M98)))</f>
        <v>PM BENTO-162</v>
      </c>
      <c r="X98" s="1">
        <f ca="1">IF(AND(Fonte&lt;&gt;"",Código&lt;&gt;""),MATCH(Fonte&amp;" "&amp;IF(Fonte="sinapi",SUBSTITUTE(SUBSTITUTE(Código,"/00","/"),"/0","/"),Código),INDIRECT("'[Referência "&amp;_xlnm.Database&amp;".xls]Banco'!$a:$a"),0),"X")</f>
        <v>90</v>
      </c>
      <c r="Y98" s="103">
        <v>83.71</v>
      </c>
      <c r="Z98" s="113">
        <f ca="1">ROUND(IF(ISNUMBER(R98),R98,IF(LEFT(R98,3)="BDI",HLOOKUP(R98,DADOS!$T$37:$X$38,2,FALSE),0)),15-11*$X$5)</f>
        <v>0.21390000000000001</v>
      </c>
      <c r="AA98" s="1"/>
    </row>
    <row r="99" spans="1:27" ht="25.5" x14ac:dyDescent="0.2">
      <c r="A99" t="str">
        <f t="shared" si="16"/>
        <v>S</v>
      </c>
      <c r="B99">
        <f t="shared" si="17"/>
        <v>0</v>
      </c>
      <c r="C99">
        <f t="shared" ca="1" si="18"/>
        <v>1</v>
      </c>
      <c r="D99">
        <f t="shared" ca="1" si="19"/>
        <v>6</v>
      </c>
      <c r="E99">
        <f t="shared" ca="1" si="20"/>
        <v>0</v>
      </c>
      <c r="F99">
        <f t="shared" ca="1" si="21"/>
        <v>0</v>
      </c>
      <c r="G99">
        <f t="shared" ca="1" si="22"/>
        <v>5</v>
      </c>
      <c r="H99">
        <f t="shared" ca="1" si="26"/>
        <v>0</v>
      </c>
      <c r="I99">
        <f t="shared" ca="1" si="27"/>
        <v>0</v>
      </c>
      <c r="J99" s="353" t="s">
        <v>103</v>
      </c>
      <c r="K99" s="138" t="str">
        <f t="shared" ca="1" si="23"/>
        <v>1.6.0.0.5.</v>
      </c>
      <c r="L99" s="355" t="s">
        <v>231</v>
      </c>
      <c r="M99" s="355" t="s">
        <v>279</v>
      </c>
      <c r="N99" s="357" t="s">
        <v>511</v>
      </c>
      <c r="O99" s="358" t="s">
        <v>632</v>
      </c>
      <c r="P99" s="359">
        <f>105-(3*3.5)+(3*3.5)</f>
        <v>105</v>
      </c>
      <c r="Q99" s="195"/>
      <c r="R99" s="198" t="s">
        <v>7</v>
      </c>
      <c r="S99" s="103">
        <f t="shared" si="13"/>
        <v>0</v>
      </c>
      <c r="T99" s="83">
        <f t="shared" si="14"/>
        <v>0</v>
      </c>
      <c r="U99" s="9" t="str">
        <f t="shared" si="24"/>
        <v>SEM VALOR</v>
      </c>
      <c r="V99" s="1" t="str">
        <f ca="1">IF(OR($A99=0,$A99="S",$A99&gt;CFF!$A$9),"",MAX(V$12:OFFSET(V99,-1,0))+1)</f>
        <v/>
      </c>
      <c r="W99" s="4" t="str">
        <f t="shared" si="25"/>
        <v>SINAPI-89578</v>
      </c>
      <c r="X99" s="1">
        <f t="shared" ca="1" si="15"/>
        <v>10793</v>
      </c>
      <c r="Y99" s="103">
        <v>40.799999999999997</v>
      </c>
      <c r="Z99" s="113">
        <f ca="1">ROUND(IF(ISNUMBER(R99),R99,IF(LEFT(R99,3)="BDI",HLOOKUP(R99,DADOS!$T$37:$X$38,2,FALSE),0)),15-11*$X$5)</f>
        <v>0.21390000000000001</v>
      </c>
      <c r="AA99" s="1"/>
    </row>
    <row r="100" spans="1:27" x14ac:dyDescent="0.2">
      <c r="A100">
        <f t="shared" si="16"/>
        <v>2</v>
      </c>
      <c r="B100">
        <f t="shared" ca="1" si="17"/>
        <v>12</v>
      </c>
      <c r="C100">
        <f t="shared" ca="1" si="18"/>
        <v>1</v>
      </c>
      <c r="D100">
        <f t="shared" ca="1" si="19"/>
        <v>7</v>
      </c>
      <c r="E100">
        <f t="shared" ca="1" si="20"/>
        <v>0</v>
      </c>
      <c r="F100">
        <f t="shared" ca="1" si="21"/>
        <v>0</v>
      </c>
      <c r="G100">
        <f t="shared" ca="1" si="22"/>
        <v>0</v>
      </c>
      <c r="H100">
        <f t="shared" ca="1" si="26"/>
        <v>142</v>
      </c>
      <c r="I100">
        <f t="shared" ca="1" si="27"/>
        <v>12</v>
      </c>
      <c r="J100" s="353" t="s">
        <v>100</v>
      </c>
      <c r="K100" s="138" t="str">
        <f t="shared" ca="1" si="23"/>
        <v>1.7.</v>
      </c>
      <c r="L100" s="355"/>
      <c r="M100" s="355"/>
      <c r="N100" s="357" t="s">
        <v>355</v>
      </c>
      <c r="O100" s="358" t="s">
        <v>106</v>
      </c>
      <c r="P100" s="359"/>
      <c r="Q100" s="195"/>
      <c r="R100" s="198" t="s">
        <v>7</v>
      </c>
      <c r="S100" s="103">
        <f t="shared" si="13"/>
        <v>0</v>
      </c>
      <c r="T100" s="83">
        <f t="shared" ca="1" si="14"/>
        <v>0</v>
      </c>
      <c r="U100" s="9" t="str">
        <f t="shared" ca="1" si="24"/>
        <v>SEM VALOR</v>
      </c>
      <c r="V100" s="1" t="str">
        <f ca="1">IF(OR($A100=0,$A100="S",$A100&gt;CFF!$A$9),"",MAX(V$12:OFFSET(V100,-1,0))+1)</f>
        <v/>
      </c>
      <c r="W100" s="4" t="b">
        <f t="shared" si="25"/>
        <v>0</v>
      </c>
      <c r="X100" s="1" t="str">
        <f t="shared" ca="1" si="15"/>
        <v>X</v>
      </c>
      <c r="Y100" s="103">
        <v>0</v>
      </c>
      <c r="Z100" s="113">
        <f ca="1">ROUND(IF(ISNUMBER(R100),R100,IF(LEFT(R100,3)="BDI",HLOOKUP(R100,DADOS!$T$37:$X$38,2,FALSE),0)),15-11*$X$5)</f>
        <v>0.21390000000000001</v>
      </c>
      <c r="AA100" s="1"/>
    </row>
    <row r="101" spans="1:27" x14ac:dyDescent="0.2">
      <c r="A101">
        <f t="shared" si="16"/>
        <v>3</v>
      </c>
      <c r="B101">
        <f t="shared" ca="1" si="17"/>
        <v>3</v>
      </c>
      <c r="C101">
        <f t="shared" ca="1" si="18"/>
        <v>1</v>
      </c>
      <c r="D101">
        <f t="shared" ca="1" si="19"/>
        <v>7</v>
      </c>
      <c r="E101">
        <f t="shared" ca="1" si="20"/>
        <v>1</v>
      </c>
      <c r="F101">
        <f t="shared" ca="1" si="21"/>
        <v>0</v>
      </c>
      <c r="G101">
        <f t="shared" ca="1" si="22"/>
        <v>0</v>
      </c>
      <c r="H101">
        <f t="shared" ca="1" si="26"/>
        <v>11</v>
      </c>
      <c r="I101">
        <f t="shared" ca="1" si="27"/>
        <v>3</v>
      </c>
      <c r="J101" s="353" t="s">
        <v>101</v>
      </c>
      <c r="K101" s="138" t="str">
        <f t="shared" ca="1" si="23"/>
        <v>1.7.1.</v>
      </c>
      <c r="L101" s="355"/>
      <c r="M101" s="355"/>
      <c r="N101" s="357" t="s">
        <v>354</v>
      </c>
      <c r="O101" s="358" t="s">
        <v>106</v>
      </c>
      <c r="P101" s="359"/>
      <c r="Q101" s="195"/>
      <c r="R101" s="198" t="s">
        <v>7</v>
      </c>
      <c r="S101" s="103">
        <f t="shared" si="13"/>
        <v>0</v>
      </c>
      <c r="T101" s="83">
        <f t="shared" ca="1" si="14"/>
        <v>0</v>
      </c>
      <c r="U101" s="9" t="str">
        <f t="shared" ca="1" si="24"/>
        <v>SEM VALOR</v>
      </c>
      <c r="V101" s="1" t="str">
        <f ca="1">IF(OR($A101=0,$A101="S",$A101&gt;CFF!$A$9),"",MAX(V$12:OFFSET(V101,-1,0))+1)</f>
        <v/>
      </c>
      <c r="W101" s="4" t="b">
        <f t="shared" si="25"/>
        <v>0</v>
      </c>
      <c r="X101" s="1" t="str">
        <f t="shared" ca="1" si="15"/>
        <v>X</v>
      </c>
      <c r="Y101" s="103">
        <v>0</v>
      </c>
      <c r="Z101" s="113">
        <f ca="1">ROUND(IF(ISNUMBER(R101),R101,IF(LEFT(R101,3)="BDI",HLOOKUP(R101,DADOS!$T$37:$X$38,2,FALSE),0)),15-11*$X$5)</f>
        <v>0.21390000000000001</v>
      </c>
      <c r="AA101" s="1"/>
    </row>
    <row r="102" spans="1:27" ht="25.5" x14ac:dyDescent="0.2">
      <c r="A102" t="str">
        <f t="shared" si="16"/>
        <v>S</v>
      </c>
      <c r="B102">
        <f t="shared" si="17"/>
        <v>0</v>
      </c>
      <c r="C102">
        <f t="shared" ca="1" si="18"/>
        <v>1</v>
      </c>
      <c r="D102">
        <f t="shared" ca="1" si="19"/>
        <v>7</v>
      </c>
      <c r="E102">
        <f t="shared" ca="1" si="20"/>
        <v>1</v>
      </c>
      <c r="F102">
        <f t="shared" ca="1" si="21"/>
        <v>0</v>
      </c>
      <c r="G102">
        <f t="shared" ca="1" si="22"/>
        <v>1</v>
      </c>
      <c r="H102">
        <f t="shared" ca="1" si="26"/>
        <v>0</v>
      </c>
      <c r="I102">
        <f t="shared" ca="1" si="27"/>
        <v>0</v>
      </c>
      <c r="J102" s="353" t="s">
        <v>103</v>
      </c>
      <c r="K102" s="138" t="str">
        <f t="shared" ca="1" si="23"/>
        <v>1.7.1.0.1.</v>
      </c>
      <c r="L102" s="355" t="s">
        <v>231</v>
      </c>
      <c r="M102" s="355" t="s">
        <v>349</v>
      </c>
      <c r="N102" s="357" t="s">
        <v>512</v>
      </c>
      <c r="O102" s="358" t="s">
        <v>628</v>
      </c>
      <c r="P102" s="359">
        <v>996.15</v>
      </c>
      <c r="Q102" s="195"/>
      <c r="R102" s="198" t="s">
        <v>7</v>
      </c>
      <c r="S102" s="103">
        <f t="shared" si="13"/>
        <v>0</v>
      </c>
      <c r="T102" s="83">
        <f t="shared" si="14"/>
        <v>0</v>
      </c>
      <c r="U102" s="9" t="str">
        <f t="shared" si="24"/>
        <v>SEM VALOR</v>
      </c>
      <c r="V102" s="1" t="str">
        <f ca="1">IF(OR($A102=0,$A102="S",$A102&gt;CFF!$A$9),"",MAX(V$12:OFFSET(V102,-1,0))+1)</f>
        <v/>
      </c>
      <c r="W102" s="4" t="str">
        <f t="shared" si="25"/>
        <v>SINAPI-96111</v>
      </c>
      <c r="X102" s="1">
        <f t="shared" ca="1" si="15"/>
        <v>8822</v>
      </c>
      <c r="Y102" s="103">
        <v>91.76</v>
      </c>
      <c r="Z102" s="113">
        <f ca="1">ROUND(IF(ISNUMBER(R102),R102,IF(LEFT(R102,3)="BDI",HLOOKUP(R102,DADOS!$T$37:$X$38,2,FALSE),0)),15-11*$X$5)</f>
        <v>0.21390000000000001</v>
      </c>
      <c r="AA102" s="1"/>
    </row>
    <row r="103" spans="1:27" x14ac:dyDescent="0.2">
      <c r="A103" t="str">
        <f t="shared" si="16"/>
        <v>S</v>
      </c>
      <c r="B103">
        <f t="shared" si="17"/>
        <v>0</v>
      </c>
      <c r="C103">
        <f t="shared" ca="1" si="18"/>
        <v>1</v>
      </c>
      <c r="D103">
        <f t="shared" ca="1" si="19"/>
        <v>7</v>
      </c>
      <c r="E103">
        <f t="shared" ca="1" si="20"/>
        <v>1</v>
      </c>
      <c r="F103">
        <f t="shared" ca="1" si="21"/>
        <v>0</v>
      </c>
      <c r="G103">
        <f t="shared" ca="1" si="22"/>
        <v>2</v>
      </c>
      <c r="H103">
        <f t="shared" ca="1" si="26"/>
        <v>0</v>
      </c>
      <c r="I103">
        <f t="shared" ca="1" si="27"/>
        <v>0</v>
      </c>
      <c r="J103" s="353" t="s">
        <v>103</v>
      </c>
      <c r="K103" s="138" t="str">
        <f t="shared" ca="1" si="23"/>
        <v>1.7.1.0.2.</v>
      </c>
      <c r="L103" s="355" t="s">
        <v>231</v>
      </c>
      <c r="M103" s="355" t="s">
        <v>243</v>
      </c>
      <c r="N103" s="357" t="s">
        <v>513</v>
      </c>
      <c r="O103" s="358" t="s">
        <v>632</v>
      </c>
      <c r="P103" s="359">
        <v>722.82</v>
      </c>
      <c r="Q103" s="195"/>
      <c r="R103" s="198" t="s">
        <v>7</v>
      </c>
      <c r="S103" s="103">
        <f t="shared" si="13"/>
        <v>0</v>
      </c>
      <c r="T103" s="83">
        <f t="shared" si="14"/>
        <v>0</v>
      </c>
      <c r="U103" s="9" t="str">
        <f t="shared" si="24"/>
        <v>SEM VALOR</v>
      </c>
      <c r="V103" s="1" t="str">
        <f ca="1">IF(OR($A103=0,$A103="S",$A103&gt;CFF!$A$9),"",MAX(V$12:OFFSET(V103,-1,0))+1)</f>
        <v/>
      </c>
      <c r="W103" s="4" t="str">
        <f t="shared" si="25"/>
        <v>SINAPI-96121</v>
      </c>
      <c r="X103" s="1">
        <f t="shared" ca="1" si="15"/>
        <v>8812</v>
      </c>
      <c r="Y103" s="103">
        <v>17.46</v>
      </c>
      <c r="Z103" s="113">
        <f ca="1">ROUND(IF(ISNUMBER(R103),R103,IF(LEFT(R103,3)="BDI",HLOOKUP(R103,DADOS!$T$37:$X$38,2,FALSE),0)),15-11*$X$5)</f>
        <v>0.21390000000000001</v>
      </c>
      <c r="AA103" s="1"/>
    </row>
    <row r="104" spans="1:27" x14ac:dyDescent="0.2">
      <c r="A104">
        <f t="shared" si="16"/>
        <v>3</v>
      </c>
      <c r="B104">
        <f t="shared" ca="1" si="17"/>
        <v>3</v>
      </c>
      <c r="C104">
        <f t="shared" ca="1" si="18"/>
        <v>1</v>
      </c>
      <c r="D104">
        <f t="shared" ca="1" si="19"/>
        <v>7</v>
      </c>
      <c r="E104">
        <f t="shared" ca="1" si="20"/>
        <v>2</v>
      </c>
      <c r="F104">
        <f t="shared" ca="1" si="21"/>
        <v>0</v>
      </c>
      <c r="G104">
        <f t="shared" ca="1" si="22"/>
        <v>0</v>
      </c>
      <c r="H104">
        <f t="shared" ca="1" si="26"/>
        <v>8</v>
      </c>
      <c r="I104">
        <f t="shared" ca="1" si="27"/>
        <v>3</v>
      </c>
      <c r="J104" s="353" t="s">
        <v>101</v>
      </c>
      <c r="K104" s="138" t="str">
        <f t="shared" ca="1" si="23"/>
        <v>1.7.2.</v>
      </c>
      <c r="L104" s="355"/>
      <c r="M104" s="355"/>
      <c r="N104" s="357" t="s">
        <v>353</v>
      </c>
      <c r="O104" s="358" t="s">
        <v>106</v>
      </c>
      <c r="P104" s="359"/>
      <c r="Q104" s="195"/>
      <c r="R104" s="198" t="s">
        <v>7</v>
      </c>
      <c r="S104" s="103">
        <f t="shared" si="13"/>
        <v>0</v>
      </c>
      <c r="T104" s="83">
        <f t="shared" ca="1" si="14"/>
        <v>0</v>
      </c>
      <c r="U104" s="9" t="str">
        <f t="shared" ca="1" si="24"/>
        <v>SEM VALOR</v>
      </c>
      <c r="V104" s="1" t="str">
        <f ca="1">IF(OR($A104=0,$A104="S",$A104&gt;CFF!$A$9),"",MAX(V$12:OFFSET(V104,-1,0))+1)</f>
        <v/>
      </c>
      <c r="W104" s="4" t="b">
        <f t="shared" si="25"/>
        <v>0</v>
      </c>
      <c r="X104" s="1" t="str">
        <f t="shared" ca="1" si="15"/>
        <v>X</v>
      </c>
      <c r="Y104" s="103">
        <v>0</v>
      </c>
      <c r="Z104" s="113">
        <f ca="1">ROUND(IF(ISNUMBER(R104),R104,IF(LEFT(R104,3)="BDI",HLOOKUP(R104,DADOS!$T$37:$X$38,2,FALSE),0)),15-11*$X$5)</f>
        <v>0.21390000000000001</v>
      </c>
      <c r="AA104" s="1"/>
    </row>
    <row r="105" spans="1:27" ht="25.5" x14ac:dyDescent="0.2">
      <c r="A105" t="str">
        <f t="shared" si="16"/>
        <v>S</v>
      </c>
      <c r="B105">
        <f t="shared" si="17"/>
        <v>0</v>
      </c>
      <c r="C105">
        <f t="shared" ca="1" si="18"/>
        <v>1</v>
      </c>
      <c r="D105">
        <f t="shared" ca="1" si="19"/>
        <v>7</v>
      </c>
      <c r="E105">
        <f t="shared" ca="1" si="20"/>
        <v>2</v>
      </c>
      <c r="F105">
        <f t="shared" ca="1" si="21"/>
        <v>0</v>
      </c>
      <c r="G105">
        <f t="shared" ca="1" si="22"/>
        <v>1</v>
      </c>
      <c r="H105">
        <f t="shared" ca="1" si="26"/>
        <v>0</v>
      </c>
      <c r="I105">
        <f t="shared" ca="1" si="27"/>
        <v>0</v>
      </c>
      <c r="J105" s="353" t="s">
        <v>103</v>
      </c>
      <c r="K105" s="138" t="str">
        <f t="shared" ca="1" si="23"/>
        <v>1.7.2.0.1.</v>
      </c>
      <c r="L105" s="355" t="s">
        <v>231</v>
      </c>
      <c r="M105" s="355" t="s">
        <v>349</v>
      </c>
      <c r="N105" s="357" t="s">
        <v>512</v>
      </c>
      <c r="O105" s="358" t="s">
        <v>628</v>
      </c>
      <c r="P105" s="359">
        <v>156.30000000000001</v>
      </c>
      <c r="Q105" s="195"/>
      <c r="R105" s="198" t="s">
        <v>7</v>
      </c>
      <c r="S105" s="103">
        <f t="shared" si="13"/>
        <v>0</v>
      </c>
      <c r="T105" s="83">
        <f t="shared" si="14"/>
        <v>0</v>
      </c>
      <c r="U105" s="9" t="str">
        <f t="shared" si="24"/>
        <v>SEM VALOR</v>
      </c>
      <c r="V105" s="1" t="str">
        <f ca="1">IF(OR($A105=0,$A105="S",$A105&gt;CFF!$A$9),"",MAX(V$12:OFFSET(V105,-1,0))+1)</f>
        <v/>
      </c>
      <c r="W105" s="4" t="str">
        <f t="shared" si="25"/>
        <v>SINAPI-96111</v>
      </c>
      <c r="X105" s="1">
        <f t="shared" ca="1" si="15"/>
        <v>8822</v>
      </c>
      <c r="Y105" s="103">
        <v>91.76</v>
      </c>
      <c r="Z105" s="113">
        <f ca="1">ROUND(IF(ISNUMBER(R105),R105,IF(LEFT(R105,3)="BDI",HLOOKUP(R105,DADOS!$T$37:$X$38,2,FALSE),0)),15-11*$X$5)</f>
        <v>0.21390000000000001</v>
      </c>
      <c r="AA105" s="1"/>
    </row>
    <row r="106" spans="1:27" x14ac:dyDescent="0.2">
      <c r="A106" t="str">
        <f t="shared" si="16"/>
        <v>S</v>
      </c>
      <c r="B106">
        <f t="shared" si="17"/>
        <v>0</v>
      </c>
      <c r="C106">
        <f t="shared" ca="1" si="18"/>
        <v>1</v>
      </c>
      <c r="D106">
        <f t="shared" ca="1" si="19"/>
        <v>7</v>
      </c>
      <c r="E106">
        <f t="shared" ca="1" si="20"/>
        <v>2</v>
      </c>
      <c r="F106">
        <f t="shared" ca="1" si="21"/>
        <v>0</v>
      </c>
      <c r="G106">
        <f t="shared" ca="1" si="22"/>
        <v>2</v>
      </c>
      <c r="H106">
        <f t="shared" ca="1" si="26"/>
        <v>0</v>
      </c>
      <c r="I106">
        <f t="shared" ca="1" si="27"/>
        <v>0</v>
      </c>
      <c r="J106" s="353" t="s">
        <v>103</v>
      </c>
      <c r="K106" s="138" t="str">
        <f t="shared" ca="1" si="23"/>
        <v>1.7.2.0.2.</v>
      </c>
      <c r="L106" s="355" t="s">
        <v>231</v>
      </c>
      <c r="M106" s="355" t="s">
        <v>243</v>
      </c>
      <c r="N106" s="357" t="s">
        <v>513</v>
      </c>
      <c r="O106" s="358" t="s">
        <v>632</v>
      </c>
      <c r="P106" s="359">
        <f>487.68-487.68+445.12-445.12+216.96</f>
        <v>216.96</v>
      </c>
      <c r="Q106" s="195"/>
      <c r="R106" s="198" t="s">
        <v>7</v>
      </c>
      <c r="S106" s="103">
        <f t="shared" si="13"/>
        <v>0</v>
      </c>
      <c r="T106" s="83">
        <f t="shared" si="14"/>
        <v>0</v>
      </c>
      <c r="U106" s="9" t="str">
        <f t="shared" si="24"/>
        <v>SEM VALOR</v>
      </c>
      <c r="V106" s="1" t="str">
        <f ca="1">IF(OR($A106=0,$A106="S",$A106&gt;CFF!$A$9),"",MAX(V$12:OFFSET(V106,-1,0))+1)</f>
        <v/>
      </c>
      <c r="W106" s="4" t="str">
        <f t="shared" si="25"/>
        <v>SINAPI-96121</v>
      </c>
      <c r="X106" s="1">
        <f t="shared" ca="1" si="15"/>
        <v>8812</v>
      </c>
      <c r="Y106" s="103">
        <v>17.46</v>
      </c>
      <c r="Z106" s="113">
        <f ca="1">ROUND(IF(ISNUMBER(R106),R106,IF(LEFT(R106,3)="BDI",HLOOKUP(R106,DADOS!$T$37:$X$38,2,FALSE),0)),15-11*$X$5)</f>
        <v>0.21390000000000001</v>
      </c>
      <c r="AA106" s="1"/>
    </row>
    <row r="107" spans="1:27" x14ac:dyDescent="0.2">
      <c r="A107">
        <f t="shared" si="16"/>
        <v>3</v>
      </c>
      <c r="B107">
        <f t="shared" ca="1" si="17"/>
        <v>5</v>
      </c>
      <c r="C107">
        <f t="shared" ca="1" si="18"/>
        <v>1</v>
      </c>
      <c r="D107">
        <f t="shared" ca="1" si="19"/>
        <v>7</v>
      </c>
      <c r="E107">
        <f t="shared" ca="1" si="20"/>
        <v>3</v>
      </c>
      <c r="F107">
        <f t="shared" ca="1" si="21"/>
        <v>0</v>
      </c>
      <c r="G107">
        <f t="shared" ca="1" si="22"/>
        <v>0</v>
      </c>
      <c r="H107">
        <f t="shared" ca="1" si="26"/>
        <v>5</v>
      </c>
      <c r="I107">
        <f t="shared" ca="1" si="27"/>
        <v>98</v>
      </c>
      <c r="J107" s="353" t="s">
        <v>101</v>
      </c>
      <c r="K107" s="138" t="str">
        <f t="shared" ca="1" si="23"/>
        <v>1.7.3.</v>
      </c>
      <c r="L107" s="355"/>
      <c r="M107" s="355"/>
      <c r="N107" s="357" t="s">
        <v>450</v>
      </c>
      <c r="O107" s="358" t="s">
        <v>106</v>
      </c>
      <c r="P107" s="359"/>
      <c r="Q107" s="195"/>
      <c r="R107" s="198" t="s">
        <v>7</v>
      </c>
      <c r="S107" s="103">
        <f t="shared" si="13"/>
        <v>0</v>
      </c>
      <c r="T107" s="83">
        <f t="shared" ca="1" si="14"/>
        <v>0</v>
      </c>
      <c r="U107" s="9" t="str">
        <f t="shared" ca="1" si="24"/>
        <v>SEM VALOR</v>
      </c>
      <c r="V107" s="1" t="str">
        <f ca="1">IF(OR($A107=0,$A107="S",$A107&gt;CFF!$A$9),"",MAX(V$12:OFFSET(V107,-1,0))+1)</f>
        <v/>
      </c>
      <c r="W107" s="4" t="b">
        <f t="shared" si="25"/>
        <v>0</v>
      </c>
      <c r="X107" s="1" t="str">
        <f t="shared" ca="1" si="15"/>
        <v>X</v>
      </c>
      <c r="Y107" s="103">
        <v>0</v>
      </c>
      <c r="Z107" s="113">
        <f ca="1">ROUND(IF(ISNUMBER(R107),R107,IF(LEFT(R107,3)="BDI",HLOOKUP(R107,DADOS!$T$37:$X$38,2,FALSE),0)),15-11*$X$5)</f>
        <v>0.21390000000000001</v>
      </c>
      <c r="AA107" s="1"/>
    </row>
    <row r="108" spans="1:27" x14ac:dyDescent="0.2">
      <c r="A108" t="str">
        <f>CHOOSE(1+LOG(1+2*(J108="Meta")+4*(J108="Nível 2")+8*(J108="Nível 3")+16*(J108="Nível 4")+32*(J108="Serviço"),2),0,1,2,3,4,"S")</f>
        <v>S</v>
      </c>
      <c r="B108">
        <f>IF(OR(A108="S",A108=0),0,IF(ISERROR(I108),H108,SMALL(H108:I108,1)))</f>
        <v>0</v>
      </c>
      <c r="C108">
        <f ca="1">IF($A108=1,OFFSET(C108,-1,0)+1,OFFSET(C108,-1,0))</f>
        <v>1</v>
      </c>
      <c r="D108">
        <f ca="1">IF($A108=1,0,IF($A108=2,OFFSET(D108,-1,0)+1,OFFSET(D108,-1,0)))</f>
        <v>7</v>
      </c>
      <c r="E108">
        <f ca="1">IF(AND($A108&lt;=2,$A108&lt;&gt;0),0,IF($A108=3,OFFSET(E108,-1,0)+1,OFFSET(E108,-1,0)))</f>
        <v>3</v>
      </c>
      <c r="F108">
        <f ca="1">IF(AND($A108&lt;=3,$A108&lt;&gt;0),0,IF($A108=4,OFFSET(F108,-1,0)+1,OFFSET(F108,-1,0)))</f>
        <v>0</v>
      </c>
      <c r="G108">
        <f ca="1">IF(AND($A108&lt;=4,$A108&lt;&gt;0),0,IF($A108="S",OFFSET(G108,-1,0)+1,OFFSET(G108,-1,0)))</f>
        <v>1</v>
      </c>
      <c r="H108">
        <f t="shared" ca="1" si="26"/>
        <v>0</v>
      </c>
      <c r="I108">
        <f t="shared" ca="1" si="27"/>
        <v>0</v>
      </c>
      <c r="J108" s="353" t="s">
        <v>103</v>
      </c>
      <c r="K108" s="138" t="str">
        <f ca="1">IF($A108=0,"-",CONCATENATE(C108&amp;".",IF(AND($A$5&gt;=2,$A108&gt;=2),D108&amp;".",""),IF(AND($A$5&gt;=3,$A108&gt;=3),E108&amp;".",""),IF(AND($A$5&gt;=4,$A108&gt;=4),F108&amp;".",""),IF($A108="S",G108&amp;".","")))</f>
        <v>1.7.3.0.1.</v>
      </c>
      <c r="L108" s="355" t="s">
        <v>237</v>
      </c>
      <c r="M108" s="355" t="s">
        <v>257</v>
      </c>
      <c r="N108" s="357" t="s">
        <v>514</v>
      </c>
      <c r="O108" s="358" t="s">
        <v>632</v>
      </c>
      <c r="P108" s="359">
        <v>228.47</v>
      </c>
      <c r="Q108" s="195"/>
      <c r="R108" s="198" t="s">
        <v>7</v>
      </c>
      <c r="S108" s="103">
        <f>IF($A108="S",IF($Q$10="Preço Unitário (R$)",PO.CustoUnitario,ROUND(PO.CustoUnitario*(1+$Z108),15-13*$X$6)),0)</f>
        <v>0</v>
      </c>
      <c r="T108" s="83">
        <f>IF($A108="S",VTOTAL1,IF($A108=0,0,ROUND(SomaAgrup,15-13*$X$7)))</f>
        <v>0</v>
      </c>
      <c r="U108" s="9" t="str">
        <f>IF($J108="","",IF($N108="","DESCRIÇÃO",IF(AND($J108="Serviço",$O108=""),"UNIDADE",IF($T108&lt;=0,"SEM VALOR",IF(AND($Y108&lt;&gt;"",$Q108&gt;$Y108),"ACIMA REF.","")))))</f>
        <v>SEM VALOR</v>
      </c>
      <c r="V108" s="1" t="str">
        <f ca="1">IF(OR($A108=0,$A108="S",$A108&gt;CFF!$A$9),"",MAX(V$12:OFFSET(V108,-1,0))+1)</f>
        <v/>
      </c>
      <c r="W108" s="4" t="str">
        <f>IF(AND($J108="Serviço",$M108&lt;&gt;""),IF($L108="",$M108,CONCATENATE($L108,"-",$M108)))</f>
        <v>PM BENTO-120</v>
      </c>
      <c r="X108" s="1">
        <f ca="1">IF(AND(Fonte&lt;&gt;"",Código&lt;&gt;""),MATCH(Fonte&amp;" "&amp;IF(Fonte="sinapi",SUBSTITUTE(SUBSTITUTE(Código,"/00","/"),"/0","/"),Código),INDIRECT("'[Referência "&amp;_xlnm.Database&amp;".xls]Banco'!$a:$a"),0),"X")</f>
        <v>47</v>
      </c>
      <c r="Y108" s="103">
        <v>31.44</v>
      </c>
      <c r="Z108" s="113">
        <f ca="1">ROUND(IF(ISNUMBER(R108),R108,IF(LEFT(R108,3)="BDI",HLOOKUP(R108,DADOS!$T$37:$X$38,2,FALSE),0)),15-11*$X$5)</f>
        <v>0.21390000000000001</v>
      </c>
      <c r="AA108" s="1"/>
    </row>
    <row r="109" spans="1:27" x14ac:dyDescent="0.2">
      <c r="A109" t="str">
        <f t="shared" si="16"/>
        <v>S</v>
      </c>
      <c r="B109">
        <f t="shared" si="17"/>
        <v>0</v>
      </c>
      <c r="C109">
        <f t="shared" ca="1" si="18"/>
        <v>1</v>
      </c>
      <c r="D109">
        <f t="shared" ca="1" si="19"/>
        <v>7</v>
      </c>
      <c r="E109">
        <f t="shared" ca="1" si="20"/>
        <v>3</v>
      </c>
      <c r="F109">
        <f t="shared" ca="1" si="21"/>
        <v>0</v>
      </c>
      <c r="G109">
        <f t="shared" ca="1" si="22"/>
        <v>2</v>
      </c>
      <c r="H109">
        <f t="shared" ca="1" si="26"/>
        <v>0</v>
      </c>
      <c r="I109">
        <f t="shared" ca="1" si="27"/>
        <v>0</v>
      </c>
      <c r="J109" s="353" t="s">
        <v>103</v>
      </c>
      <c r="K109" s="138" t="str">
        <f t="shared" ca="1" si="23"/>
        <v>1.7.3.0.2.</v>
      </c>
      <c r="L109" s="355" t="s">
        <v>231</v>
      </c>
      <c r="M109" s="355" t="s">
        <v>254</v>
      </c>
      <c r="N109" s="357" t="s">
        <v>515</v>
      </c>
      <c r="O109" s="358" t="s">
        <v>628</v>
      </c>
      <c r="P109" s="359">
        <f>$P$108*(0.15+0.02+0.025)</f>
        <v>44.551649999999995</v>
      </c>
      <c r="Q109" s="195"/>
      <c r="R109" s="198" t="s">
        <v>7</v>
      </c>
      <c r="S109" s="103">
        <f t="shared" si="13"/>
        <v>0</v>
      </c>
      <c r="T109" s="83">
        <f t="shared" si="14"/>
        <v>0</v>
      </c>
      <c r="U109" s="9" t="str">
        <f t="shared" si="24"/>
        <v>SEM VALOR</v>
      </c>
      <c r="V109" s="1" t="str">
        <f ca="1">IF(OR($A109=0,$A109="S",$A109&gt;CFF!$A$9),"",MAX(V$12:OFFSET(V109,-1,0))+1)</f>
        <v/>
      </c>
      <c r="W109" s="4" t="str">
        <f t="shared" si="25"/>
        <v>SINAPI-102193</v>
      </c>
      <c r="X109" s="1">
        <f t="shared" ca="1" si="15"/>
        <v>12766</v>
      </c>
      <c r="Y109" s="103">
        <v>2.5499999999999998</v>
      </c>
      <c r="Z109" s="113">
        <f ca="1">ROUND(IF(ISNUMBER(R109),R109,IF(LEFT(R109,3)="BDI",HLOOKUP(R109,DADOS!$T$37:$X$38,2,FALSE),0)),15-11*$X$5)</f>
        <v>0.21390000000000001</v>
      </c>
      <c r="AA109" s="1"/>
    </row>
    <row r="110" spans="1:27" x14ac:dyDescent="0.2">
      <c r="A110" t="str">
        <f t="shared" si="16"/>
        <v>S</v>
      </c>
      <c r="B110">
        <f t="shared" si="17"/>
        <v>0</v>
      </c>
      <c r="C110">
        <f t="shared" ca="1" si="18"/>
        <v>1</v>
      </c>
      <c r="D110">
        <f t="shared" ca="1" si="19"/>
        <v>7</v>
      </c>
      <c r="E110">
        <f t="shared" ca="1" si="20"/>
        <v>3</v>
      </c>
      <c r="F110">
        <f t="shared" ca="1" si="21"/>
        <v>0</v>
      </c>
      <c r="G110">
        <f t="shared" ca="1" si="22"/>
        <v>3</v>
      </c>
      <c r="H110">
        <f t="shared" ca="1" si="26"/>
        <v>0</v>
      </c>
      <c r="I110">
        <f t="shared" ca="1" si="27"/>
        <v>0</v>
      </c>
      <c r="J110" s="353" t="s">
        <v>103</v>
      </c>
      <c r="K110" s="138" t="str">
        <f t="shared" ca="1" si="23"/>
        <v>1.7.3.0.3.</v>
      </c>
      <c r="L110" s="355" t="s">
        <v>231</v>
      </c>
      <c r="M110" s="355" t="s">
        <v>255</v>
      </c>
      <c r="N110" s="357" t="s">
        <v>516</v>
      </c>
      <c r="O110" s="358" t="s">
        <v>628</v>
      </c>
      <c r="P110" s="359">
        <f>$P$108*(0.15+0.02+0.025)</f>
        <v>44.551649999999995</v>
      </c>
      <c r="Q110" s="195"/>
      <c r="R110" s="198" t="s">
        <v>7</v>
      </c>
      <c r="S110" s="103">
        <f t="shared" si="13"/>
        <v>0</v>
      </c>
      <c r="T110" s="83">
        <f t="shared" si="14"/>
        <v>0</v>
      </c>
      <c r="U110" s="9" t="str">
        <f t="shared" si="24"/>
        <v>SEM VALOR</v>
      </c>
      <c r="V110" s="1" t="str">
        <f ca="1">IF(OR($A110=0,$A110="S",$A110&gt;CFF!$A$9),"",MAX(V$12:OFFSET(V110,-1,0))+1)</f>
        <v/>
      </c>
      <c r="W110" s="4" t="str">
        <f t="shared" si="25"/>
        <v>SINAPI-102197</v>
      </c>
      <c r="X110" s="1">
        <f t="shared" ca="1" si="15"/>
        <v>12769</v>
      </c>
      <c r="Y110" s="103">
        <v>33.94</v>
      </c>
      <c r="Z110" s="113">
        <f ca="1">ROUND(IF(ISNUMBER(R110),R110,IF(LEFT(R110,3)="BDI",HLOOKUP(R110,DADOS!$T$37:$X$38,2,FALSE),0)),15-11*$X$5)</f>
        <v>0.21390000000000001</v>
      </c>
      <c r="AA110" s="1"/>
    </row>
    <row r="111" spans="1:27" ht="25.5" x14ac:dyDescent="0.2">
      <c r="A111" t="str">
        <f t="shared" si="16"/>
        <v>S</v>
      </c>
      <c r="B111">
        <f t="shared" si="17"/>
        <v>0</v>
      </c>
      <c r="C111">
        <f t="shared" ca="1" si="18"/>
        <v>1</v>
      </c>
      <c r="D111">
        <f t="shared" ca="1" si="19"/>
        <v>7</v>
      </c>
      <c r="E111">
        <f t="shared" ca="1" si="20"/>
        <v>3</v>
      </c>
      <c r="F111">
        <f t="shared" ca="1" si="21"/>
        <v>0</v>
      </c>
      <c r="G111">
        <f t="shared" ca="1" si="22"/>
        <v>4</v>
      </c>
      <c r="H111">
        <f t="shared" ca="1" si="26"/>
        <v>0</v>
      </c>
      <c r="I111">
        <f t="shared" ca="1" si="27"/>
        <v>0</v>
      </c>
      <c r="J111" s="353" t="s">
        <v>103</v>
      </c>
      <c r="K111" s="138" t="str">
        <f t="shared" ca="1" si="23"/>
        <v>1.7.3.0.4.</v>
      </c>
      <c r="L111" s="355" t="s">
        <v>231</v>
      </c>
      <c r="M111" s="355" t="s">
        <v>256</v>
      </c>
      <c r="N111" s="357" t="s">
        <v>517</v>
      </c>
      <c r="O111" s="358" t="s">
        <v>628</v>
      </c>
      <c r="P111" s="359">
        <f>$P$108*(0.15+0.02+0.025)</f>
        <v>44.551649999999995</v>
      </c>
      <c r="Q111" s="195"/>
      <c r="R111" s="198" t="s">
        <v>7</v>
      </c>
      <c r="S111" s="103">
        <f t="shared" si="13"/>
        <v>0</v>
      </c>
      <c r="T111" s="83">
        <f t="shared" si="14"/>
        <v>0</v>
      </c>
      <c r="U111" s="9" t="str">
        <f t="shared" si="24"/>
        <v>SEM VALOR</v>
      </c>
      <c r="V111" s="1" t="str">
        <f ca="1">IF(OR($A111=0,$A111="S",$A111&gt;CFF!$A$9),"",MAX(V$12:OFFSET(V111,-1,0))+1)</f>
        <v/>
      </c>
      <c r="W111" s="4" t="str">
        <f t="shared" si="25"/>
        <v>SINAPI-102229</v>
      </c>
      <c r="X111" s="1">
        <f t="shared" ca="1" si="15"/>
        <v>12783</v>
      </c>
      <c r="Y111" s="103">
        <v>32.14</v>
      </c>
      <c r="Z111" s="113">
        <f ca="1">ROUND(IF(ISNUMBER(R111),R111,IF(LEFT(R111,3)="BDI",HLOOKUP(R111,DADOS!$T$37:$X$38,2,FALSE),0)),15-11*$X$5)</f>
        <v>0.21390000000000001</v>
      </c>
      <c r="AA111" s="1"/>
    </row>
    <row r="112" spans="1:27" x14ac:dyDescent="0.2">
      <c r="A112">
        <f t="shared" ref="A112:A186" si="41">CHOOSE(1+LOG(1+2*(J112="Meta")+4*(J112="Nível 2")+8*(J112="Nível 3")+16*(J112="Nível 4")+32*(J112="Serviço"),2),0,1,2,3,4,"S")</f>
        <v>2</v>
      </c>
      <c r="B112">
        <f t="shared" ref="B112:B186" ca="1" si="42">IF(OR(A112="S",A112=0),0,IF(ISERROR(I112),H112,SMALL(H112:I112,1)))</f>
        <v>75</v>
      </c>
      <c r="C112">
        <f t="shared" ref="C112:C186" ca="1" si="43">IF($A112=1,OFFSET(C112,-1,0)+1,OFFSET(C112,-1,0))</f>
        <v>1</v>
      </c>
      <c r="D112">
        <f t="shared" ref="D112:D186" ca="1" si="44">IF($A112=1,0,IF($A112=2,OFFSET(D112,-1,0)+1,OFFSET(D112,-1,0)))</f>
        <v>8</v>
      </c>
      <c r="E112">
        <f t="shared" ref="E112:E186" ca="1" si="45">IF(AND($A112&lt;=2,$A112&lt;&gt;0),0,IF($A112=3,OFFSET(E112,-1,0)+1,OFFSET(E112,-1,0)))</f>
        <v>0</v>
      </c>
      <c r="F112">
        <f t="shared" ref="F112:F186" ca="1" si="46">IF(AND($A112&lt;=3,$A112&lt;&gt;0),0,IF($A112=4,OFFSET(F112,-1,0)+1,OFFSET(F112,-1,0)))</f>
        <v>0</v>
      </c>
      <c r="G112">
        <f t="shared" ref="G112:G186" ca="1" si="47">IF(AND($A112&lt;=4,$A112&lt;&gt;0),0,IF($A112="S",OFFSET(G112,-1,0)+1,OFFSET(G112,-1,0)))</f>
        <v>0</v>
      </c>
      <c r="H112">
        <f t="shared" ca="1" si="26"/>
        <v>130</v>
      </c>
      <c r="I112">
        <f t="shared" ca="1" si="27"/>
        <v>75</v>
      </c>
      <c r="J112" s="353" t="s">
        <v>100</v>
      </c>
      <c r="K112" s="138" t="str">
        <f t="shared" ref="K112:K186" ca="1" si="48">IF($A112=0,"-",CONCATENATE(C112&amp;".",IF(AND($A$5&gt;=2,$A112&gt;=2),D112&amp;".",""),IF(AND($A$5&gt;=3,$A112&gt;=3),E112&amp;".",""),IF(AND($A$5&gt;=4,$A112&gt;=4),F112&amp;".",""),IF($A112="S",G112&amp;".","")))</f>
        <v>1.8.</v>
      </c>
      <c r="L112" s="355"/>
      <c r="M112" s="355"/>
      <c r="N112" s="357" t="s">
        <v>244</v>
      </c>
      <c r="O112" s="358" t="s">
        <v>106</v>
      </c>
      <c r="P112" s="359"/>
      <c r="Q112" s="195"/>
      <c r="R112" s="198" t="s">
        <v>7</v>
      </c>
      <c r="S112" s="103">
        <f t="shared" ref="S112:S143" si="49">IF($A112="S",IF($Q$10="Preço Unitário (R$)",PO.CustoUnitario,ROUND(PO.CustoUnitario*(1+$Z112),15-13*$X$6)),0)</f>
        <v>0</v>
      </c>
      <c r="T112" s="83">
        <f t="shared" ref="T112:T143" ca="1" si="50">IF($A112="S",VTOTAL1,IF($A112=0,0,ROUND(SomaAgrup,15-13*$X$7)))</f>
        <v>0</v>
      </c>
      <c r="U112" s="9" t="str">
        <f t="shared" ref="U112:U186" ca="1" si="51">IF($J112="","",IF($N112="","DESCRIÇÃO",IF(AND($J112="Serviço",$O112=""),"UNIDADE",IF($T112&lt;=0,"SEM VALOR",IF(AND($Y112&lt;&gt;"",$Q112&gt;$Y112),"ACIMA REF.","")))))</f>
        <v>SEM VALOR</v>
      </c>
      <c r="V112" s="1" t="str">
        <f ca="1">IF(OR($A112=0,$A112="S",$A112&gt;CFF!$A$9),"",MAX(V$12:OFFSET(V112,-1,0))+1)</f>
        <v/>
      </c>
      <c r="W112" s="4" t="b">
        <f t="shared" ref="W112:W186" si="52">IF(AND($J112="Serviço",$M112&lt;&gt;""),IF($L112="",$M112,CONCATENATE($L112,"-",$M112)))</f>
        <v>0</v>
      </c>
      <c r="X112" s="1" t="str">
        <f t="shared" ref="X112:X143" ca="1" si="53">IF(AND(Fonte&lt;&gt;"",Código&lt;&gt;""),MATCH(Fonte&amp;" "&amp;IF(Fonte="sinapi",SUBSTITUTE(SUBSTITUTE(Código,"/00","/"),"/0","/"),Código),INDIRECT("'[Referência "&amp;_xlnm.Database&amp;".xls]Banco'!$a:$a"),0),"X")</f>
        <v>X</v>
      </c>
      <c r="Y112" s="103">
        <v>0</v>
      </c>
      <c r="Z112" s="113">
        <f ca="1">ROUND(IF(ISNUMBER(R112),R112,IF(LEFT(R112,3)="BDI",HLOOKUP(R112,DADOS!$T$37:$X$38,2,FALSE),0)),15-11*$X$5)</f>
        <v>0.21390000000000001</v>
      </c>
      <c r="AA112" s="1"/>
    </row>
    <row r="113" spans="1:27" ht="25.5" x14ac:dyDescent="0.2">
      <c r="A113" t="str">
        <f t="shared" si="41"/>
        <v>S</v>
      </c>
      <c r="B113">
        <f t="shared" si="42"/>
        <v>0</v>
      </c>
      <c r="C113">
        <f t="shared" ca="1" si="43"/>
        <v>1</v>
      </c>
      <c r="D113">
        <f t="shared" ca="1" si="44"/>
        <v>8</v>
      </c>
      <c r="E113">
        <f t="shared" ca="1" si="45"/>
        <v>0</v>
      </c>
      <c r="F113">
        <f t="shared" ca="1" si="46"/>
        <v>0</v>
      </c>
      <c r="G113">
        <f t="shared" ca="1" si="47"/>
        <v>1</v>
      </c>
      <c r="H113">
        <f t="shared" ca="1" si="26"/>
        <v>0</v>
      </c>
      <c r="I113">
        <f t="shared" ca="1" si="27"/>
        <v>0</v>
      </c>
      <c r="J113" s="353" t="s">
        <v>103</v>
      </c>
      <c r="K113" s="138" t="str">
        <f t="shared" ca="1" si="48"/>
        <v>1.8.0.0.1.</v>
      </c>
      <c r="L113" s="355" t="s">
        <v>231</v>
      </c>
      <c r="M113" s="355" t="s">
        <v>303</v>
      </c>
      <c r="N113" s="357" t="s">
        <v>518</v>
      </c>
      <c r="O113" s="358" t="s">
        <v>632</v>
      </c>
      <c r="P113" s="360">
        <v>6600</v>
      </c>
      <c r="Q113" s="195"/>
      <c r="R113" s="198" t="s">
        <v>7</v>
      </c>
      <c r="S113" s="103">
        <f t="shared" si="49"/>
        <v>0</v>
      </c>
      <c r="T113" s="83">
        <f t="shared" si="50"/>
        <v>0</v>
      </c>
      <c r="U113" s="9" t="str">
        <f t="shared" si="51"/>
        <v>SEM VALOR</v>
      </c>
      <c r="V113" s="1" t="str">
        <f ca="1">IF(OR($A113=0,$A113="S",$A113&gt;CFF!$A$9),"",MAX(V$12:OFFSET(V113,-1,0))+1)</f>
        <v/>
      </c>
      <c r="W113" s="4" t="str">
        <f t="shared" si="52"/>
        <v>SINAPI-91926</v>
      </c>
      <c r="X113" s="1">
        <f t="shared" ca="1" si="53"/>
        <v>9264</v>
      </c>
      <c r="Y113" s="103">
        <v>5.39</v>
      </c>
      <c r="Z113" s="113">
        <f ca="1">ROUND(IF(ISNUMBER(R113),R113,IF(LEFT(R113,3)="BDI",HLOOKUP(R113,DADOS!$T$37:$X$38,2,FALSE),0)),15-11*$X$5)</f>
        <v>0.21390000000000001</v>
      </c>
      <c r="AA113" s="1"/>
    </row>
    <row r="114" spans="1:27" ht="25.5" x14ac:dyDescent="0.2">
      <c r="A114" t="str">
        <f t="shared" si="41"/>
        <v>S</v>
      </c>
      <c r="B114">
        <f t="shared" si="42"/>
        <v>0</v>
      </c>
      <c r="C114">
        <f t="shared" ca="1" si="43"/>
        <v>1</v>
      </c>
      <c r="D114">
        <f t="shared" ca="1" si="44"/>
        <v>8</v>
      </c>
      <c r="E114">
        <f t="shared" ca="1" si="45"/>
        <v>0</v>
      </c>
      <c r="F114">
        <f t="shared" ca="1" si="46"/>
        <v>0</v>
      </c>
      <c r="G114">
        <f t="shared" ca="1" si="47"/>
        <v>2</v>
      </c>
      <c r="H114">
        <f t="shared" ca="1" si="26"/>
        <v>0</v>
      </c>
      <c r="I114">
        <f t="shared" ca="1" si="27"/>
        <v>0</v>
      </c>
      <c r="J114" s="353" t="s">
        <v>103</v>
      </c>
      <c r="K114" s="138" t="str">
        <f t="shared" ca="1" si="48"/>
        <v>1.8.0.0.2.</v>
      </c>
      <c r="L114" s="355" t="s">
        <v>231</v>
      </c>
      <c r="M114" s="355" t="s">
        <v>357</v>
      </c>
      <c r="N114" s="357" t="s">
        <v>519</v>
      </c>
      <c r="O114" s="358" t="s">
        <v>632</v>
      </c>
      <c r="P114" s="360">
        <v>30</v>
      </c>
      <c r="Q114" s="195"/>
      <c r="R114" s="198" t="s">
        <v>7</v>
      </c>
      <c r="S114" s="103">
        <f t="shared" si="49"/>
        <v>0</v>
      </c>
      <c r="T114" s="83">
        <f t="shared" si="50"/>
        <v>0</v>
      </c>
      <c r="U114" s="9" t="str">
        <f t="shared" si="51"/>
        <v>SEM VALOR</v>
      </c>
      <c r="V114" s="1" t="str">
        <f ca="1">IF(OR($A114=0,$A114="S",$A114&gt;CFF!$A$9),"",MAX(V$12:OFFSET(V114,-1,0))+1)</f>
        <v/>
      </c>
      <c r="W114" s="4" t="str">
        <f t="shared" si="52"/>
        <v>SINAPI-91927</v>
      </c>
      <c r="X114" s="1">
        <f t="shared" ca="1" si="53"/>
        <v>9263</v>
      </c>
      <c r="Y114" s="103">
        <v>6.03</v>
      </c>
      <c r="Z114" s="113">
        <f ca="1">ROUND(IF(ISNUMBER(R114),R114,IF(LEFT(R114,3)="BDI",HLOOKUP(R114,DADOS!$T$37:$X$38,2,FALSE),0)),15-11*$X$5)</f>
        <v>0.21390000000000001</v>
      </c>
      <c r="AA114" s="1"/>
    </row>
    <row r="115" spans="1:27" ht="25.5" x14ac:dyDescent="0.2">
      <c r="A115" t="str">
        <f t="shared" si="41"/>
        <v>S</v>
      </c>
      <c r="B115">
        <f t="shared" si="42"/>
        <v>0</v>
      </c>
      <c r="C115">
        <f t="shared" ca="1" si="43"/>
        <v>1</v>
      </c>
      <c r="D115">
        <f t="shared" ca="1" si="44"/>
        <v>8</v>
      </c>
      <c r="E115">
        <f t="shared" ca="1" si="45"/>
        <v>0</v>
      </c>
      <c r="F115">
        <f t="shared" ca="1" si="46"/>
        <v>0</v>
      </c>
      <c r="G115">
        <f t="shared" ca="1" si="47"/>
        <v>3</v>
      </c>
      <c r="H115">
        <f t="shared" ca="1" si="26"/>
        <v>0</v>
      </c>
      <c r="I115">
        <f t="shared" ca="1" si="27"/>
        <v>0</v>
      </c>
      <c r="J115" s="353" t="s">
        <v>103</v>
      </c>
      <c r="K115" s="138" t="str">
        <f t="shared" ca="1" si="48"/>
        <v>1.8.0.0.3.</v>
      </c>
      <c r="L115" s="355" t="s">
        <v>231</v>
      </c>
      <c r="M115" s="355" t="s">
        <v>358</v>
      </c>
      <c r="N115" s="357" t="s">
        <v>520</v>
      </c>
      <c r="O115" s="358" t="s">
        <v>632</v>
      </c>
      <c r="P115" s="360">
        <v>400</v>
      </c>
      <c r="Q115" s="195"/>
      <c r="R115" s="198" t="s">
        <v>7</v>
      </c>
      <c r="S115" s="103">
        <f t="shared" si="49"/>
        <v>0</v>
      </c>
      <c r="T115" s="83">
        <f t="shared" si="50"/>
        <v>0</v>
      </c>
      <c r="U115" s="9" t="str">
        <f t="shared" si="51"/>
        <v>SEM VALOR</v>
      </c>
      <c r="V115" s="1" t="str">
        <f ca="1">IF(OR($A115=0,$A115="S",$A115&gt;CFF!$A$9),"",MAX(V$12:OFFSET(V115,-1,0))+1)</f>
        <v/>
      </c>
      <c r="W115" s="4" t="str">
        <f t="shared" si="52"/>
        <v>SINAPI-91928</v>
      </c>
      <c r="X115" s="1">
        <f t="shared" ca="1" si="53"/>
        <v>9266</v>
      </c>
      <c r="Y115" s="103">
        <v>8.32</v>
      </c>
      <c r="Z115" s="113">
        <f ca="1">ROUND(IF(ISNUMBER(R115),R115,IF(LEFT(R115,3)="BDI",HLOOKUP(R115,DADOS!$T$37:$X$38,2,FALSE),0)),15-11*$X$5)</f>
        <v>0.21390000000000001</v>
      </c>
      <c r="AA115" s="1"/>
    </row>
    <row r="116" spans="1:27" ht="25.5" x14ac:dyDescent="0.2">
      <c r="A116" t="str">
        <f t="shared" si="41"/>
        <v>S</v>
      </c>
      <c r="B116">
        <f t="shared" si="42"/>
        <v>0</v>
      </c>
      <c r="C116">
        <f t="shared" ca="1" si="43"/>
        <v>1</v>
      </c>
      <c r="D116">
        <f t="shared" ca="1" si="44"/>
        <v>8</v>
      </c>
      <c r="E116">
        <f t="shared" ca="1" si="45"/>
        <v>0</v>
      </c>
      <c r="F116">
        <f t="shared" ca="1" si="46"/>
        <v>0</v>
      </c>
      <c r="G116">
        <f t="shared" ca="1" si="47"/>
        <v>4</v>
      </c>
      <c r="H116">
        <f t="shared" ca="1" si="26"/>
        <v>0</v>
      </c>
      <c r="I116">
        <f t="shared" ca="1" si="27"/>
        <v>0</v>
      </c>
      <c r="J116" s="353" t="s">
        <v>103</v>
      </c>
      <c r="K116" s="138" t="str">
        <f t="shared" ca="1" si="48"/>
        <v>1.8.0.0.4.</v>
      </c>
      <c r="L116" s="355" t="s">
        <v>231</v>
      </c>
      <c r="M116" s="355" t="s">
        <v>359</v>
      </c>
      <c r="N116" s="357" t="s">
        <v>521</v>
      </c>
      <c r="O116" s="358" t="s">
        <v>632</v>
      </c>
      <c r="P116" s="360">
        <v>245</v>
      </c>
      <c r="Q116" s="195"/>
      <c r="R116" s="198" t="s">
        <v>7</v>
      </c>
      <c r="S116" s="103">
        <f t="shared" si="49"/>
        <v>0</v>
      </c>
      <c r="T116" s="83">
        <f t="shared" si="50"/>
        <v>0</v>
      </c>
      <c r="U116" s="9" t="str">
        <f t="shared" si="51"/>
        <v>SEM VALOR</v>
      </c>
      <c r="V116" s="1" t="str">
        <f ca="1">IF(OR($A116=0,$A116="S",$A116&gt;CFF!$A$9),"",MAX(V$12:OFFSET(V116,-1,0))+1)</f>
        <v/>
      </c>
      <c r="W116" s="4" t="str">
        <f t="shared" si="52"/>
        <v>SINAPI-91931</v>
      </c>
      <c r="X116" s="1">
        <f t="shared" ca="1" si="53"/>
        <v>9267</v>
      </c>
      <c r="Y116" s="103">
        <v>12.52</v>
      </c>
      <c r="Z116" s="113">
        <f ca="1">ROUND(IF(ISNUMBER(R116),R116,IF(LEFT(R116,3)="BDI",HLOOKUP(R116,DADOS!$T$37:$X$38,2,FALSE),0)),15-11*$X$5)</f>
        <v>0.21390000000000001</v>
      </c>
      <c r="AA116" s="1"/>
    </row>
    <row r="117" spans="1:27" ht="25.5" x14ac:dyDescent="0.2">
      <c r="A117" t="str">
        <f t="shared" si="41"/>
        <v>S</v>
      </c>
      <c r="B117">
        <f t="shared" si="42"/>
        <v>0</v>
      </c>
      <c r="C117">
        <f t="shared" ca="1" si="43"/>
        <v>1</v>
      </c>
      <c r="D117">
        <f t="shared" ca="1" si="44"/>
        <v>8</v>
      </c>
      <c r="E117">
        <f t="shared" ca="1" si="45"/>
        <v>0</v>
      </c>
      <c r="F117">
        <f t="shared" ca="1" si="46"/>
        <v>0</v>
      </c>
      <c r="G117">
        <f t="shared" ca="1" si="47"/>
        <v>5</v>
      </c>
      <c r="H117">
        <f t="shared" ca="1" si="26"/>
        <v>0</v>
      </c>
      <c r="I117">
        <f t="shared" ca="1" si="27"/>
        <v>0</v>
      </c>
      <c r="J117" s="353" t="s">
        <v>103</v>
      </c>
      <c r="K117" s="138" t="str">
        <f t="shared" ca="1" si="48"/>
        <v>1.8.0.0.5.</v>
      </c>
      <c r="L117" s="355" t="s">
        <v>231</v>
      </c>
      <c r="M117" s="355" t="s">
        <v>360</v>
      </c>
      <c r="N117" s="357" t="s">
        <v>522</v>
      </c>
      <c r="O117" s="358" t="s">
        <v>632</v>
      </c>
      <c r="P117" s="360">
        <v>50</v>
      </c>
      <c r="Q117" s="195"/>
      <c r="R117" s="198" t="s">
        <v>7</v>
      </c>
      <c r="S117" s="103">
        <f t="shared" si="49"/>
        <v>0</v>
      </c>
      <c r="T117" s="83">
        <f t="shared" si="50"/>
        <v>0</v>
      </c>
      <c r="U117" s="9" t="str">
        <f t="shared" si="51"/>
        <v>SEM VALOR</v>
      </c>
      <c r="V117" s="1" t="str">
        <f ca="1">IF(OR($A117=0,$A117="S",$A117&gt;CFF!$A$9),"",MAX(V$12:OFFSET(V117,-1,0))+1)</f>
        <v/>
      </c>
      <c r="W117" s="4" t="str">
        <f t="shared" si="52"/>
        <v>SINAPI-91932</v>
      </c>
      <c r="X117" s="1">
        <f t="shared" ca="1" si="53"/>
        <v>9260</v>
      </c>
      <c r="Y117" s="103">
        <v>20.73</v>
      </c>
      <c r="Z117" s="113">
        <f ca="1">ROUND(IF(ISNUMBER(R117),R117,IF(LEFT(R117,3)="BDI",HLOOKUP(R117,DADOS!$T$37:$X$38,2,FALSE),0)),15-11*$X$5)</f>
        <v>0.21390000000000001</v>
      </c>
      <c r="AA117" s="1"/>
    </row>
    <row r="118" spans="1:27" ht="25.5" x14ac:dyDescent="0.2">
      <c r="A118" t="str">
        <f t="shared" si="41"/>
        <v>S</v>
      </c>
      <c r="B118">
        <f t="shared" si="42"/>
        <v>0</v>
      </c>
      <c r="C118">
        <f t="shared" ca="1" si="43"/>
        <v>1</v>
      </c>
      <c r="D118">
        <f t="shared" ca="1" si="44"/>
        <v>8</v>
      </c>
      <c r="E118">
        <f t="shared" ca="1" si="45"/>
        <v>0</v>
      </c>
      <c r="F118">
        <f t="shared" ca="1" si="46"/>
        <v>0</v>
      </c>
      <c r="G118">
        <f t="shared" ca="1" si="47"/>
        <v>6</v>
      </c>
      <c r="H118">
        <f t="shared" ca="1" si="26"/>
        <v>0</v>
      </c>
      <c r="I118">
        <f t="shared" ca="1" si="27"/>
        <v>0</v>
      </c>
      <c r="J118" s="353" t="s">
        <v>103</v>
      </c>
      <c r="K118" s="138" t="str">
        <f t="shared" ca="1" si="48"/>
        <v>1.8.0.0.6.</v>
      </c>
      <c r="L118" s="355" t="s">
        <v>231</v>
      </c>
      <c r="M118" s="355" t="s">
        <v>361</v>
      </c>
      <c r="N118" s="357" t="s">
        <v>523</v>
      </c>
      <c r="O118" s="358" t="s">
        <v>632</v>
      </c>
      <c r="P118" s="360">
        <v>400</v>
      </c>
      <c r="Q118" s="195"/>
      <c r="R118" s="198" t="s">
        <v>7</v>
      </c>
      <c r="S118" s="103">
        <f t="shared" si="49"/>
        <v>0</v>
      </c>
      <c r="T118" s="83">
        <f t="shared" si="50"/>
        <v>0</v>
      </c>
      <c r="U118" s="9" t="str">
        <f t="shared" si="51"/>
        <v>SEM VALOR</v>
      </c>
      <c r="V118" s="1" t="str">
        <f ca="1">IF(OR($A118=0,$A118="S",$A118&gt;CFF!$A$9),"",MAX(V$12:OFFSET(V118,-1,0))+1)</f>
        <v/>
      </c>
      <c r="W118" s="4" t="str">
        <f t="shared" si="52"/>
        <v>SINAPI-92982</v>
      </c>
      <c r="X118" s="1">
        <f t="shared" ca="1" si="53"/>
        <v>9543</v>
      </c>
      <c r="Y118" s="103">
        <v>20.49</v>
      </c>
      <c r="Z118" s="113">
        <f ca="1">ROUND(IF(ISNUMBER(R118),R118,IF(LEFT(R118,3)="BDI",HLOOKUP(R118,DADOS!$T$37:$X$38,2,FALSE),0)),15-11*$X$5)</f>
        <v>0.21390000000000001</v>
      </c>
      <c r="AA118" s="1"/>
    </row>
    <row r="119" spans="1:27" ht="25.5" x14ac:dyDescent="0.2">
      <c r="A119" t="str">
        <f t="shared" si="41"/>
        <v>S</v>
      </c>
      <c r="B119">
        <f t="shared" si="42"/>
        <v>0</v>
      </c>
      <c r="C119">
        <f t="shared" ca="1" si="43"/>
        <v>1</v>
      </c>
      <c r="D119">
        <f t="shared" ca="1" si="44"/>
        <v>8</v>
      </c>
      <c r="E119">
        <f t="shared" ca="1" si="45"/>
        <v>0</v>
      </c>
      <c r="F119">
        <f t="shared" ca="1" si="46"/>
        <v>0</v>
      </c>
      <c r="G119">
        <f t="shared" ca="1" si="47"/>
        <v>7</v>
      </c>
      <c r="H119">
        <f t="shared" ca="1" si="26"/>
        <v>0</v>
      </c>
      <c r="I119">
        <f t="shared" ca="1" si="27"/>
        <v>0</v>
      </c>
      <c r="J119" s="353" t="s">
        <v>103</v>
      </c>
      <c r="K119" s="138" t="str">
        <f t="shared" ca="1" si="48"/>
        <v>1.8.0.0.7.</v>
      </c>
      <c r="L119" s="355" t="s">
        <v>231</v>
      </c>
      <c r="M119" s="355" t="s">
        <v>362</v>
      </c>
      <c r="N119" s="357" t="s">
        <v>524</v>
      </c>
      <c r="O119" s="358" t="s">
        <v>632</v>
      </c>
      <c r="P119" s="360">
        <v>110</v>
      </c>
      <c r="Q119" s="195"/>
      <c r="R119" s="198" t="s">
        <v>7</v>
      </c>
      <c r="S119" s="103">
        <f t="shared" si="49"/>
        <v>0</v>
      </c>
      <c r="T119" s="83">
        <f t="shared" si="50"/>
        <v>0</v>
      </c>
      <c r="U119" s="9" t="str">
        <f t="shared" si="51"/>
        <v>SEM VALOR</v>
      </c>
      <c r="V119" s="1" t="str">
        <f ca="1">IF(OR($A119=0,$A119="S",$A119&gt;CFF!$A$9),"",MAX(V$12:OFFSET(V119,-1,0))+1)</f>
        <v/>
      </c>
      <c r="W119" s="4" t="str">
        <f t="shared" si="52"/>
        <v>SINAPI-92986</v>
      </c>
      <c r="X119" s="1">
        <f t="shared" ca="1" si="53"/>
        <v>13456</v>
      </c>
      <c r="Y119" s="103">
        <v>47.12</v>
      </c>
      <c r="Z119" s="113">
        <f ca="1">ROUND(IF(ISNUMBER(R119),R119,IF(LEFT(R119,3)="BDI",HLOOKUP(R119,DADOS!$T$37:$X$38,2,FALSE),0)),15-11*$X$5)</f>
        <v>0.21390000000000001</v>
      </c>
      <c r="AA119" s="1"/>
    </row>
    <row r="120" spans="1:27" ht="25.5" x14ac:dyDescent="0.2">
      <c r="A120" t="str">
        <f t="shared" si="41"/>
        <v>S</v>
      </c>
      <c r="B120">
        <f t="shared" si="42"/>
        <v>0</v>
      </c>
      <c r="C120">
        <f t="shared" ca="1" si="43"/>
        <v>1</v>
      </c>
      <c r="D120">
        <f t="shared" ca="1" si="44"/>
        <v>8</v>
      </c>
      <c r="E120">
        <f t="shared" ca="1" si="45"/>
        <v>0</v>
      </c>
      <c r="F120">
        <f t="shared" ca="1" si="46"/>
        <v>0</v>
      </c>
      <c r="G120">
        <f t="shared" ca="1" si="47"/>
        <v>8</v>
      </c>
      <c r="H120">
        <f t="shared" ca="1" si="26"/>
        <v>0</v>
      </c>
      <c r="I120">
        <f t="shared" ca="1" si="27"/>
        <v>0</v>
      </c>
      <c r="J120" s="353" t="s">
        <v>103</v>
      </c>
      <c r="K120" s="138" t="str">
        <f t="shared" ca="1" si="48"/>
        <v>1.8.0.0.8.</v>
      </c>
      <c r="L120" s="355" t="s">
        <v>231</v>
      </c>
      <c r="M120" s="355" t="s">
        <v>363</v>
      </c>
      <c r="N120" s="357" t="s">
        <v>525</v>
      </c>
      <c r="O120" s="358" t="s">
        <v>632</v>
      </c>
      <c r="P120" s="360">
        <v>750</v>
      </c>
      <c r="Q120" s="195"/>
      <c r="R120" s="198" t="s">
        <v>7</v>
      </c>
      <c r="S120" s="103">
        <f t="shared" si="49"/>
        <v>0</v>
      </c>
      <c r="T120" s="83">
        <f t="shared" si="50"/>
        <v>0</v>
      </c>
      <c r="U120" s="9" t="str">
        <f t="shared" si="51"/>
        <v>SEM VALOR</v>
      </c>
      <c r="V120" s="1" t="str">
        <f ca="1">IF(OR($A120=0,$A120="S",$A120&gt;CFF!$A$9),"",MAX(V$12:OFFSET(V120,-1,0))+1)</f>
        <v/>
      </c>
      <c r="W120" s="4" t="str">
        <f t="shared" si="52"/>
        <v>SINAPI-91835</v>
      </c>
      <c r="X120" s="1">
        <f t="shared" ca="1" si="53"/>
        <v>9325</v>
      </c>
      <c r="Y120" s="103">
        <v>27.41</v>
      </c>
      <c r="Z120" s="113">
        <f ca="1">ROUND(IF(ISNUMBER(R120),R120,IF(LEFT(R120,3)="BDI",HLOOKUP(R120,DADOS!$T$37:$X$38,2,FALSE),0)),15-11*$X$5)</f>
        <v>0.21390000000000001</v>
      </c>
      <c r="AA120" s="1"/>
    </row>
    <row r="121" spans="1:27" ht="25.5" x14ac:dyDescent="0.2">
      <c r="A121" t="str">
        <f t="shared" si="41"/>
        <v>S</v>
      </c>
      <c r="B121">
        <f t="shared" si="42"/>
        <v>0</v>
      </c>
      <c r="C121">
        <f t="shared" ca="1" si="43"/>
        <v>1</v>
      </c>
      <c r="D121">
        <f t="shared" ca="1" si="44"/>
        <v>8</v>
      </c>
      <c r="E121">
        <f t="shared" ca="1" si="45"/>
        <v>0</v>
      </c>
      <c r="F121">
        <f t="shared" ca="1" si="46"/>
        <v>0</v>
      </c>
      <c r="G121">
        <f t="shared" ca="1" si="47"/>
        <v>9</v>
      </c>
      <c r="H121">
        <f t="shared" ca="1" si="26"/>
        <v>0</v>
      </c>
      <c r="I121">
        <f t="shared" ca="1" si="27"/>
        <v>0</v>
      </c>
      <c r="J121" s="353" t="s">
        <v>103</v>
      </c>
      <c r="K121" s="138" t="str">
        <f t="shared" ca="1" si="48"/>
        <v>1.8.0.0.9.</v>
      </c>
      <c r="L121" s="355" t="s">
        <v>231</v>
      </c>
      <c r="M121" s="355" t="s">
        <v>364</v>
      </c>
      <c r="N121" s="357" t="s">
        <v>526</v>
      </c>
      <c r="O121" s="358" t="s">
        <v>632</v>
      </c>
      <c r="P121" s="360">
        <v>40</v>
      </c>
      <c r="Q121" s="195"/>
      <c r="R121" s="198" t="s">
        <v>7</v>
      </c>
      <c r="S121" s="103">
        <f t="shared" si="49"/>
        <v>0</v>
      </c>
      <c r="T121" s="83">
        <f t="shared" si="50"/>
        <v>0</v>
      </c>
      <c r="U121" s="9" t="str">
        <f t="shared" si="51"/>
        <v>SEM VALOR</v>
      </c>
      <c r="V121" s="1" t="str">
        <f ca="1">IF(OR($A121=0,$A121="S",$A121&gt;CFF!$A$9),"",MAX(V$12:OFFSET(V121,-1,0))+1)</f>
        <v/>
      </c>
      <c r="W121" s="4" t="str">
        <f t="shared" si="52"/>
        <v>SINAPI-91836</v>
      </c>
      <c r="X121" s="1">
        <f t="shared" ca="1" si="53"/>
        <v>9341</v>
      </c>
      <c r="Y121" s="103">
        <v>29.17</v>
      </c>
      <c r="Z121" s="113">
        <f ca="1">ROUND(IF(ISNUMBER(R121),R121,IF(LEFT(R121,3)="BDI",HLOOKUP(R121,DADOS!$T$37:$X$38,2,FALSE),0)),15-11*$X$5)</f>
        <v>0.21390000000000001</v>
      </c>
      <c r="AA121" s="1"/>
    </row>
    <row r="122" spans="1:27" ht="25.5" x14ac:dyDescent="0.2">
      <c r="A122" t="str">
        <f t="shared" si="41"/>
        <v>S</v>
      </c>
      <c r="B122">
        <f t="shared" si="42"/>
        <v>0</v>
      </c>
      <c r="C122">
        <f t="shared" ca="1" si="43"/>
        <v>1</v>
      </c>
      <c r="D122">
        <f t="shared" ca="1" si="44"/>
        <v>8</v>
      </c>
      <c r="E122">
        <f t="shared" ca="1" si="45"/>
        <v>0</v>
      </c>
      <c r="F122">
        <f t="shared" ca="1" si="46"/>
        <v>0</v>
      </c>
      <c r="G122">
        <f t="shared" ca="1" si="47"/>
        <v>10</v>
      </c>
      <c r="H122">
        <f t="shared" ca="1" si="26"/>
        <v>0</v>
      </c>
      <c r="I122">
        <f t="shared" ca="1" si="27"/>
        <v>0</v>
      </c>
      <c r="J122" s="353" t="s">
        <v>103</v>
      </c>
      <c r="K122" s="138" t="str">
        <f t="shared" ca="1" si="48"/>
        <v>1.8.0.0.10.</v>
      </c>
      <c r="L122" s="355" t="s">
        <v>231</v>
      </c>
      <c r="M122" s="355" t="s">
        <v>365</v>
      </c>
      <c r="N122" s="357" t="s">
        <v>527</v>
      </c>
      <c r="O122" s="358" t="s">
        <v>632</v>
      </c>
      <c r="P122" s="360">
        <v>30</v>
      </c>
      <c r="Q122" s="195"/>
      <c r="R122" s="198" t="s">
        <v>7</v>
      </c>
      <c r="S122" s="103">
        <f t="shared" si="49"/>
        <v>0</v>
      </c>
      <c r="T122" s="83">
        <f t="shared" si="50"/>
        <v>0</v>
      </c>
      <c r="U122" s="9" t="str">
        <f t="shared" si="51"/>
        <v>SEM VALOR</v>
      </c>
      <c r="V122" s="1" t="str">
        <f ca="1">IF(OR($A122=0,$A122="S",$A122&gt;CFF!$A$9),"",MAX(V$12:OFFSET(V122,-1,0))+1)</f>
        <v/>
      </c>
      <c r="W122" s="4" t="str">
        <f t="shared" si="52"/>
        <v>SINAPI-97669</v>
      </c>
      <c r="X122" s="1">
        <f t="shared" ca="1" si="53"/>
        <v>13473</v>
      </c>
      <c r="Y122" s="103">
        <v>28.16</v>
      </c>
      <c r="Z122" s="113">
        <f ca="1">ROUND(IF(ISNUMBER(R122),R122,IF(LEFT(R122,3)="BDI",HLOOKUP(R122,DADOS!$T$37:$X$38,2,FALSE),0)),15-11*$X$5)</f>
        <v>0.21390000000000001</v>
      </c>
      <c r="AA122" s="1"/>
    </row>
    <row r="123" spans="1:27" x14ac:dyDescent="0.2">
      <c r="A123" t="str">
        <f t="shared" si="41"/>
        <v>S</v>
      </c>
      <c r="B123">
        <f t="shared" si="42"/>
        <v>0</v>
      </c>
      <c r="C123">
        <f t="shared" ca="1" si="43"/>
        <v>1</v>
      </c>
      <c r="D123">
        <f t="shared" ca="1" si="44"/>
        <v>8</v>
      </c>
      <c r="E123">
        <f t="shared" ca="1" si="45"/>
        <v>0</v>
      </c>
      <c r="F123">
        <f t="shared" ca="1" si="46"/>
        <v>0</v>
      </c>
      <c r="G123">
        <f t="shared" ca="1" si="47"/>
        <v>11</v>
      </c>
      <c r="H123">
        <f t="shared" ca="1" si="26"/>
        <v>0</v>
      </c>
      <c r="I123">
        <f t="shared" ca="1" si="27"/>
        <v>0</v>
      </c>
      <c r="J123" s="353" t="s">
        <v>103</v>
      </c>
      <c r="K123" s="138" t="str">
        <f t="shared" ca="1" si="48"/>
        <v>1.8.0.0.11.</v>
      </c>
      <c r="L123" s="355" t="s">
        <v>231</v>
      </c>
      <c r="M123" s="355" t="s">
        <v>366</v>
      </c>
      <c r="N123" s="357" t="s">
        <v>528</v>
      </c>
      <c r="O123" s="358" t="s">
        <v>629</v>
      </c>
      <c r="P123" s="360">
        <v>146</v>
      </c>
      <c r="Q123" s="195"/>
      <c r="R123" s="198" t="s">
        <v>7</v>
      </c>
      <c r="S123" s="103">
        <f t="shared" si="49"/>
        <v>0</v>
      </c>
      <c r="T123" s="83">
        <f t="shared" si="50"/>
        <v>0</v>
      </c>
      <c r="U123" s="9" t="str">
        <f t="shared" si="51"/>
        <v>SEM VALOR</v>
      </c>
      <c r="V123" s="1" t="str">
        <f ca="1">IF(OR($A123=0,$A123="S",$A123&gt;CFF!$A$9),"",MAX(V$12:OFFSET(V123,-1,0))+1)</f>
        <v/>
      </c>
      <c r="W123" s="4" t="str">
        <f t="shared" si="52"/>
        <v>SINAPI-91936</v>
      </c>
      <c r="X123" s="1">
        <f t="shared" ca="1" si="53"/>
        <v>9277</v>
      </c>
      <c r="Y123" s="103">
        <v>23.02</v>
      </c>
      <c r="Z123" s="113">
        <f ca="1">ROUND(IF(ISNUMBER(R123),R123,IF(LEFT(R123,3)="BDI",HLOOKUP(R123,DADOS!$T$37:$X$38,2,FALSE),0)),15-11*$X$5)</f>
        <v>0.21390000000000001</v>
      </c>
      <c r="AA123" s="1"/>
    </row>
    <row r="124" spans="1:27" ht="25.5" x14ac:dyDescent="0.2">
      <c r="A124" t="str">
        <f t="shared" si="41"/>
        <v>S</v>
      </c>
      <c r="B124">
        <f t="shared" si="42"/>
        <v>0</v>
      </c>
      <c r="C124">
        <f t="shared" ca="1" si="43"/>
        <v>1</v>
      </c>
      <c r="D124">
        <f t="shared" ca="1" si="44"/>
        <v>8</v>
      </c>
      <c r="E124">
        <f t="shared" ca="1" si="45"/>
        <v>0</v>
      </c>
      <c r="F124">
        <f t="shared" ca="1" si="46"/>
        <v>0</v>
      </c>
      <c r="G124">
        <f t="shared" ca="1" si="47"/>
        <v>12</v>
      </c>
      <c r="H124">
        <f t="shared" ca="1" si="26"/>
        <v>0</v>
      </c>
      <c r="I124">
        <f t="shared" ca="1" si="27"/>
        <v>0</v>
      </c>
      <c r="J124" s="353" t="s">
        <v>103</v>
      </c>
      <c r="K124" s="138" t="str">
        <f t="shared" ca="1" si="48"/>
        <v>1.8.0.0.12.</v>
      </c>
      <c r="L124" s="355" t="s">
        <v>231</v>
      </c>
      <c r="M124" s="355" t="s">
        <v>367</v>
      </c>
      <c r="N124" s="357" t="s">
        <v>529</v>
      </c>
      <c r="O124" s="358" t="s">
        <v>632</v>
      </c>
      <c r="P124" s="360">
        <v>1000</v>
      </c>
      <c r="Q124" s="195"/>
      <c r="R124" s="198" t="s">
        <v>7</v>
      </c>
      <c r="S124" s="103">
        <f t="shared" si="49"/>
        <v>0</v>
      </c>
      <c r="T124" s="83">
        <f t="shared" si="50"/>
        <v>0</v>
      </c>
      <c r="U124" s="9" t="str">
        <f t="shared" si="51"/>
        <v>SEM VALOR</v>
      </c>
      <c r="V124" s="1" t="str">
        <f ca="1">IF(OR($A124=0,$A124="S",$A124&gt;CFF!$A$9),"",MAX(V$12:OFFSET(V124,-1,0))+1)</f>
        <v/>
      </c>
      <c r="W124" s="4" t="str">
        <f t="shared" si="52"/>
        <v>SINAPI-95727</v>
      </c>
      <c r="X124" s="1">
        <f t="shared" ca="1" si="53"/>
        <v>9532</v>
      </c>
      <c r="Y124" s="103">
        <v>27.43</v>
      </c>
      <c r="Z124" s="113">
        <f ca="1">ROUND(IF(ISNUMBER(R124),R124,IF(LEFT(R124,3)="BDI",HLOOKUP(R124,DADOS!$T$37:$X$38,2,FALSE),0)),15-11*$X$5)</f>
        <v>0.21390000000000001</v>
      </c>
      <c r="AA124" s="1"/>
    </row>
    <row r="125" spans="1:27" x14ac:dyDescent="0.2">
      <c r="A125" t="str">
        <f t="shared" si="41"/>
        <v>S</v>
      </c>
      <c r="B125">
        <f t="shared" si="42"/>
        <v>0</v>
      </c>
      <c r="C125">
        <f t="shared" ca="1" si="43"/>
        <v>1</v>
      </c>
      <c r="D125">
        <f t="shared" ca="1" si="44"/>
        <v>8</v>
      </c>
      <c r="E125">
        <f t="shared" ca="1" si="45"/>
        <v>0</v>
      </c>
      <c r="F125">
        <f t="shared" ca="1" si="46"/>
        <v>0</v>
      </c>
      <c r="G125">
        <f t="shared" ca="1" si="47"/>
        <v>13</v>
      </c>
      <c r="H125">
        <f t="shared" ca="1" si="26"/>
        <v>0</v>
      </c>
      <c r="I125">
        <f t="shared" ca="1" si="27"/>
        <v>0</v>
      </c>
      <c r="J125" s="353" t="s">
        <v>103</v>
      </c>
      <c r="K125" s="138" t="str">
        <f t="shared" ca="1" si="48"/>
        <v>1.8.0.0.13.</v>
      </c>
      <c r="L125" s="355" t="s">
        <v>231</v>
      </c>
      <c r="M125" s="355" t="s">
        <v>368</v>
      </c>
      <c r="N125" s="357" t="s">
        <v>530</v>
      </c>
      <c r="O125" s="358" t="s">
        <v>632</v>
      </c>
      <c r="P125" s="360">
        <v>39</v>
      </c>
      <c r="Q125" s="195"/>
      <c r="R125" s="198" t="s">
        <v>7</v>
      </c>
      <c r="S125" s="103">
        <f t="shared" si="49"/>
        <v>0</v>
      </c>
      <c r="T125" s="83">
        <f t="shared" si="50"/>
        <v>0</v>
      </c>
      <c r="U125" s="9" t="str">
        <f t="shared" si="51"/>
        <v>SEM VALOR</v>
      </c>
      <c r="V125" s="1" t="str">
        <f ca="1">IF(OR($A125=0,$A125="S",$A125&gt;CFF!$A$9),"",MAX(V$12:OFFSET(V125,-1,0))+1)</f>
        <v/>
      </c>
      <c r="W125" s="4" t="str">
        <f t="shared" si="52"/>
        <v>SINAPI-95728</v>
      </c>
      <c r="X125" s="1">
        <f t="shared" ca="1" si="53"/>
        <v>9533</v>
      </c>
      <c r="Y125" s="103">
        <v>35.4</v>
      </c>
      <c r="Z125" s="113">
        <f ca="1">ROUND(IF(ISNUMBER(R125),R125,IF(LEFT(R125,3)="BDI",HLOOKUP(R125,DADOS!$T$37:$X$38,2,FALSE),0)),15-11*$X$5)</f>
        <v>0.21390000000000001</v>
      </c>
      <c r="AA125" s="1"/>
    </row>
    <row r="126" spans="1:27" x14ac:dyDescent="0.2">
      <c r="A126" t="str">
        <f t="shared" si="41"/>
        <v>S</v>
      </c>
      <c r="B126">
        <f t="shared" si="42"/>
        <v>0</v>
      </c>
      <c r="C126">
        <f t="shared" ca="1" si="43"/>
        <v>1</v>
      </c>
      <c r="D126">
        <f t="shared" ca="1" si="44"/>
        <v>8</v>
      </c>
      <c r="E126">
        <f t="shared" ca="1" si="45"/>
        <v>0</v>
      </c>
      <c r="F126">
        <f t="shared" ca="1" si="46"/>
        <v>0</v>
      </c>
      <c r="G126">
        <f t="shared" ca="1" si="47"/>
        <v>14</v>
      </c>
      <c r="H126">
        <f t="shared" ca="1" si="26"/>
        <v>0</v>
      </c>
      <c r="I126">
        <f t="shared" ca="1" si="27"/>
        <v>0</v>
      </c>
      <c r="J126" s="353" t="s">
        <v>103</v>
      </c>
      <c r="K126" s="138" t="str">
        <f t="shared" ca="1" si="48"/>
        <v>1.8.0.0.14.</v>
      </c>
      <c r="L126" s="355" t="s">
        <v>231</v>
      </c>
      <c r="M126" s="355" t="s">
        <v>339</v>
      </c>
      <c r="N126" s="357" t="s">
        <v>531</v>
      </c>
      <c r="O126" s="358" t="s">
        <v>636</v>
      </c>
      <c r="P126" s="360">
        <v>3</v>
      </c>
      <c r="Q126" s="195"/>
      <c r="R126" s="198" t="s">
        <v>7</v>
      </c>
      <c r="S126" s="103">
        <f t="shared" si="49"/>
        <v>0</v>
      </c>
      <c r="T126" s="83">
        <f t="shared" si="50"/>
        <v>0</v>
      </c>
      <c r="U126" s="9" t="str">
        <f t="shared" si="51"/>
        <v>SEM VALOR</v>
      </c>
      <c r="V126" s="1" t="str">
        <f ca="1">IF(OR($A126=0,$A126="S",$A126&gt;CFF!$A$9),"",MAX(V$12:OFFSET(V126,-1,0))+1)</f>
        <v/>
      </c>
      <c r="W126" s="4" t="str">
        <f t="shared" si="52"/>
        <v>SINAPI-93358</v>
      </c>
      <c r="X126" s="1">
        <f t="shared" ca="1" si="53"/>
        <v>8169</v>
      </c>
      <c r="Y126" s="103">
        <v>111.69</v>
      </c>
      <c r="Z126" s="113">
        <f ca="1">ROUND(IF(ISNUMBER(R126),R126,IF(LEFT(R126,3)="BDI",HLOOKUP(R126,DADOS!$T$37:$X$38,2,FALSE),0)),15-11*$X$5)</f>
        <v>0.21390000000000001</v>
      </c>
      <c r="AA126" s="1"/>
    </row>
    <row r="127" spans="1:27" ht="25.5" x14ac:dyDescent="0.2">
      <c r="A127" t="str">
        <f t="shared" si="41"/>
        <v>S</v>
      </c>
      <c r="B127">
        <f t="shared" si="42"/>
        <v>0</v>
      </c>
      <c r="C127">
        <f t="shared" ca="1" si="43"/>
        <v>1</v>
      </c>
      <c r="D127">
        <f t="shared" ca="1" si="44"/>
        <v>8</v>
      </c>
      <c r="E127">
        <f t="shared" ca="1" si="45"/>
        <v>0</v>
      </c>
      <c r="F127">
        <f t="shared" ca="1" si="46"/>
        <v>0</v>
      </c>
      <c r="G127">
        <f t="shared" ca="1" si="47"/>
        <v>15</v>
      </c>
      <c r="H127">
        <f t="shared" ca="1" si="26"/>
        <v>0</v>
      </c>
      <c r="I127">
        <f t="shared" ca="1" si="27"/>
        <v>0</v>
      </c>
      <c r="J127" s="353" t="s">
        <v>103</v>
      </c>
      <c r="K127" s="138" t="str">
        <f t="shared" ca="1" si="48"/>
        <v>1.8.0.0.15.</v>
      </c>
      <c r="L127" s="355" t="s">
        <v>231</v>
      </c>
      <c r="M127" s="355" t="s">
        <v>369</v>
      </c>
      <c r="N127" s="357" t="s">
        <v>532</v>
      </c>
      <c r="O127" s="358" t="s">
        <v>636</v>
      </c>
      <c r="P127" s="360">
        <v>0.8</v>
      </c>
      <c r="Q127" s="195"/>
      <c r="R127" s="198" t="s">
        <v>7</v>
      </c>
      <c r="S127" s="103">
        <f t="shared" si="49"/>
        <v>0</v>
      </c>
      <c r="T127" s="83">
        <f t="shared" si="50"/>
        <v>0</v>
      </c>
      <c r="U127" s="9" t="str">
        <f t="shared" si="51"/>
        <v>SEM VALOR</v>
      </c>
      <c r="V127" s="1" t="str">
        <f ca="1">IF(OR($A127=0,$A127="S",$A127&gt;CFF!$A$9),"",MAX(V$12:OFFSET(V127,-1,0))+1)</f>
        <v/>
      </c>
      <c r="W127" s="4" t="str">
        <f t="shared" si="52"/>
        <v>SINAPI-102486</v>
      </c>
      <c r="X127" s="1">
        <f t="shared" ca="1" si="53"/>
        <v>13189</v>
      </c>
      <c r="Y127" s="103">
        <v>800.85</v>
      </c>
      <c r="Z127" s="113">
        <f ca="1">ROUND(IF(ISNUMBER(R127),R127,IF(LEFT(R127,3)="BDI",HLOOKUP(R127,DADOS!$T$37:$X$38,2,FALSE),0)),15-11*$X$5)</f>
        <v>0.21390000000000001</v>
      </c>
      <c r="AA127" s="1"/>
    </row>
    <row r="128" spans="1:27" x14ac:dyDescent="0.2">
      <c r="A128" t="str">
        <f t="shared" si="41"/>
        <v>S</v>
      </c>
      <c r="B128">
        <f t="shared" si="42"/>
        <v>0</v>
      </c>
      <c r="C128">
        <f t="shared" ca="1" si="43"/>
        <v>1</v>
      </c>
      <c r="D128">
        <f t="shared" ca="1" si="44"/>
        <v>8</v>
      </c>
      <c r="E128">
        <f t="shared" ca="1" si="45"/>
        <v>0</v>
      </c>
      <c r="F128">
        <f t="shared" ca="1" si="46"/>
        <v>0</v>
      </c>
      <c r="G128">
        <f t="shared" ca="1" si="47"/>
        <v>16</v>
      </c>
      <c r="H128">
        <f t="shared" ca="1" si="26"/>
        <v>0</v>
      </c>
      <c r="I128">
        <f t="shared" ca="1" si="27"/>
        <v>0</v>
      </c>
      <c r="J128" s="353" t="s">
        <v>103</v>
      </c>
      <c r="K128" s="138" t="str">
        <f t="shared" ca="1" si="48"/>
        <v>1.8.0.0.16.</v>
      </c>
      <c r="L128" s="355" t="s">
        <v>231</v>
      </c>
      <c r="M128" s="355" t="s">
        <v>370</v>
      </c>
      <c r="N128" s="357" t="s">
        <v>533</v>
      </c>
      <c r="O128" s="358" t="s">
        <v>636</v>
      </c>
      <c r="P128" s="360">
        <v>3</v>
      </c>
      <c r="Q128" s="195"/>
      <c r="R128" s="198" t="s">
        <v>7</v>
      </c>
      <c r="S128" s="103">
        <f t="shared" si="49"/>
        <v>0</v>
      </c>
      <c r="T128" s="83">
        <f t="shared" si="50"/>
        <v>0</v>
      </c>
      <c r="U128" s="9" t="str">
        <f t="shared" si="51"/>
        <v>SEM VALOR</v>
      </c>
      <c r="V128" s="1" t="str">
        <f ca="1">IF(OR($A128=0,$A128="S",$A128&gt;CFF!$A$9),"",MAX(V$12:OFFSET(V128,-1,0))+1)</f>
        <v/>
      </c>
      <c r="W128" s="4" t="str">
        <f t="shared" si="52"/>
        <v>SINAPI-94319</v>
      </c>
      <c r="X128" s="1">
        <f t="shared" ca="1" si="53"/>
        <v>5658</v>
      </c>
      <c r="Y128" s="103">
        <v>101.31</v>
      </c>
      <c r="Z128" s="113">
        <f ca="1">ROUND(IF(ISNUMBER(R128),R128,IF(LEFT(R128,3)="BDI",HLOOKUP(R128,DADOS!$T$37:$X$38,2,FALSE),0)),15-11*$X$5)</f>
        <v>0.21390000000000001</v>
      </c>
      <c r="AA128" s="1"/>
    </row>
    <row r="129" spans="1:27" ht="25.5" x14ac:dyDescent="0.2">
      <c r="A129" t="str">
        <f t="shared" si="41"/>
        <v>S</v>
      </c>
      <c r="B129">
        <f t="shared" si="42"/>
        <v>0</v>
      </c>
      <c r="C129">
        <f t="shared" ca="1" si="43"/>
        <v>1</v>
      </c>
      <c r="D129">
        <f t="shared" ca="1" si="44"/>
        <v>8</v>
      </c>
      <c r="E129">
        <f t="shared" ca="1" si="45"/>
        <v>0</v>
      </c>
      <c r="F129">
        <f t="shared" ca="1" si="46"/>
        <v>0</v>
      </c>
      <c r="G129">
        <f t="shared" ca="1" si="47"/>
        <v>17</v>
      </c>
      <c r="H129">
        <f t="shared" ca="1" si="26"/>
        <v>0</v>
      </c>
      <c r="I129">
        <f t="shared" ca="1" si="27"/>
        <v>0</v>
      </c>
      <c r="J129" s="353" t="s">
        <v>103</v>
      </c>
      <c r="K129" s="138" t="str">
        <f t="shared" ca="1" si="48"/>
        <v>1.8.0.0.17.</v>
      </c>
      <c r="L129" s="355" t="s">
        <v>237</v>
      </c>
      <c r="M129" s="355" t="s">
        <v>412</v>
      </c>
      <c r="N129" s="357" t="s">
        <v>534</v>
      </c>
      <c r="O129" s="358" t="s">
        <v>632</v>
      </c>
      <c r="P129" s="360">
        <v>170</v>
      </c>
      <c r="Q129" s="195"/>
      <c r="R129" s="198" t="s">
        <v>7</v>
      </c>
      <c r="S129" s="103">
        <f t="shared" si="49"/>
        <v>0</v>
      </c>
      <c r="T129" s="83">
        <f t="shared" si="50"/>
        <v>0</v>
      </c>
      <c r="U129" s="9" t="str">
        <f t="shared" si="51"/>
        <v>SEM VALOR</v>
      </c>
      <c r="V129" s="1" t="str">
        <f ca="1">IF(OR($A129=0,$A129="S",$A129&gt;CFF!$A$9),"",MAX(V$12:OFFSET(V129,-1,0))+1)</f>
        <v/>
      </c>
      <c r="W129" s="4" t="str">
        <f t="shared" si="52"/>
        <v>PM BENTO-145</v>
      </c>
      <c r="X129" s="1">
        <f t="shared" ca="1" si="53"/>
        <v>73</v>
      </c>
      <c r="Y129" s="103">
        <v>51.35</v>
      </c>
      <c r="Z129" s="113">
        <f ca="1">ROUND(IF(ISNUMBER(R129),R129,IF(LEFT(R129,3)="BDI",HLOOKUP(R129,DADOS!$T$37:$X$38,2,FALSE),0)),15-11*$X$5)</f>
        <v>0.21390000000000001</v>
      </c>
      <c r="AA129" s="1"/>
    </row>
    <row r="130" spans="1:27" x14ac:dyDescent="0.2">
      <c r="A130" t="str">
        <f t="shared" si="41"/>
        <v>S</v>
      </c>
      <c r="B130">
        <f t="shared" si="42"/>
        <v>0</v>
      </c>
      <c r="C130">
        <f t="shared" ca="1" si="43"/>
        <v>1</v>
      </c>
      <c r="D130">
        <f t="shared" ca="1" si="44"/>
        <v>8</v>
      </c>
      <c r="E130">
        <f t="shared" ca="1" si="45"/>
        <v>0</v>
      </c>
      <c r="F130">
        <f t="shared" ca="1" si="46"/>
        <v>0</v>
      </c>
      <c r="G130">
        <f t="shared" ca="1" si="47"/>
        <v>18</v>
      </c>
      <c r="H130">
        <f t="shared" ca="1" si="26"/>
        <v>0</v>
      </c>
      <c r="I130">
        <f t="shared" ca="1" si="27"/>
        <v>0</v>
      </c>
      <c r="J130" s="353" t="s">
        <v>103</v>
      </c>
      <c r="K130" s="138" t="str">
        <f t="shared" ca="1" si="48"/>
        <v>1.8.0.0.18.</v>
      </c>
      <c r="L130" s="355" t="s">
        <v>236</v>
      </c>
      <c r="M130" s="355" t="s">
        <v>371</v>
      </c>
      <c r="N130" s="357" t="s">
        <v>535</v>
      </c>
      <c r="O130" s="358" t="s">
        <v>629</v>
      </c>
      <c r="P130" s="360">
        <v>38</v>
      </c>
      <c r="Q130" s="195"/>
      <c r="R130" s="198" t="s">
        <v>7</v>
      </c>
      <c r="S130" s="103">
        <f t="shared" si="49"/>
        <v>0</v>
      </c>
      <c r="T130" s="83">
        <f t="shared" si="50"/>
        <v>0</v>
      </c>
      <c r="U130" s="9" t="str">
        <f t="shared" si="51"/>
        <v>SEM VALOR</v>
      </c>
      <c r="V130" s="1" t="str">
        <f ca="1">IF(OR($A130=0,$A130="S",$A130&gt;CFF!$A$9),"",MAX(V$12:OFFSET(V130,-1,0))+1)</f>
        <v/>
      </c>
      <c r="W130" s="4" t="str">
        <f t="shared" si="52"/>
        <v>SINAPI-I-39175</v>
      </c>
      <c r="X130" s="1">
        <f t="shared" ca="1" si="53"/>
        <v>791</v>
      </c>
      <c r="Y130" s="103">
        <v>1.7</v>
      </c>
      <c r="Z130" s="113">
        <f ca="1">ROUND(IF(ISNUMBER(R130),R130,IF(LEFT(R130,3)="BDI",HLOOKUP(R130,DADOS!$T$37:$X$38,2,FALSE),0)),15-11*$X$5)</f>
        <v>0.21390000000000001</v>
      </c>
      <c r="AA130" s="1"/>
    </row>
    <row r="131" spans="1:27" ht="25.5" x14ac:dyDescent="0.2">
      <c r="A131" t="str">
        <f t="shared" si="41"/>
        <v>S</v>
      </c>
      <c r="B131">
        <f t="shared" si="42"/>
        <v>0</v>
      </c>
      <c r="C131">
        <f t="shared" ca="1" si="43"/>
        <v>1</v>
      </c>
      <c r="D131">
        <f t="shared" ca="1" si="44"/>
        <v>8</v>
      </c>
      <c r="E131">
        <f t="shared" ca="1" si="45"/>
        <v>0</v>
      </c>
      <c r="F131">
        <f t="shared" ca="1" si="46"/>
        <v>0</v>
      </c>
      <c r="G131">
        <f t="shared" ca="1" si="47"/>
        <v>19</v>
      </c>
      <c r="H131">
        <f t="shared" ca="1" si="26"/>
        <v>0</v>
      </c>
      <c r="I131">
        <f t="shared" ca="1" si="27"/>
        <v>0</v>
      </c>
      <c r="J131" s="353" t="s">
        <v>103</v>
      </c>
      <c r="K131" s="138" t="str">
        <f t="shared" ca="1" si="48"/>
        <v>1.8.0.0.19.</v>
      </c>
      <c r="L131" s="355" t="s">
        <v>236</v>
      </c>
      <c r="M131" s="355" t="s">
        <v>372</v>
      </c>
      <c r="N131" s="357" t="s">
        <v>536</v>
      </c>
      <c r="O131" s="358" t="s">
        <v>629</v>
      </c>
      <c r="P131" s="360">
        <v>10</v>
      </c>
      <c r="Q131" s="195"/>
      <c r="R131" s="198" t="s">
        <v>7</v>
      </c>
      <c r="S131" s="103">
        <f t="shared" si="49"/>
        <v>0</v>
      </c>
      <c r="T131" s="83">
        <f t="shared" si="50"/>
        <v>0</v>
      </c>
      <c r="U131" s="9" t="str">
        <f t="shared" si="51"/>
        <v>SEM VALOR</v>
      </c>
      <c r="V131" s="1" t="str">
        <f ca="1">IF(OR($A131=0,$A131="S",$A131&gt;CFF!$A$9),"",MAX(V$12:OFFSET(V131,-1,0))+1)</f>
        <v/>
      </c>
      <c r="W131" s="4" t="str">
        <f t="shared" si="52"/>
        <v>SINAPI-I-1575</v>
      </c>
      <c r="X131" s="1">
        <f t="shared" ca="1" si="53"/>
        <v>4304</v>
      </c>
      <c r="Y131" s="103">
        <v>2.94</v>
      </c>
      <c r="Z131" s="113">
        <f ca="1">ROUND(IF(ISNUMBER(R131),R131,IF(LEFT(R131,3)="BDI",HLOOKUP(R131,DADOS!$T$37:$X$38,2,FALSE),0)),15-11*$X$5)</f>
        <v>0.21390000000000001</v>
      </c>
      <c r="AA131" s="1"/>
    </row>
    <row r="132" spans="1:27" ht="25.5" x14ac:dyDescent="0.2">
      <c r="A132" t="str">
        <f t="shared" si="41"/>
        <v>S</v>
      </c>
      <c r="B132">
        <f t="shared" si="42"/>
        <v>0</v>
      </c>
      <c r="C132">
        <f t="shared" ca="1" si="43"/>
        <v>1</v>
      </c>
      <c r="D132">
        <f t="shared" ca="1" si="44"/>
        <v>8</v>
      </c>
      <c r="E132">
        <f t="shared" ca="1" si="45"/>
        <v>0</v>
      </c>
      <c r="F132">
        <f t="shared" ca="1" si="46"/>
        <v>0</v>
      </c>
      <c r="G132">
        <f t="shared" ca="1" si="47"/>
        <v>20</v>
      </c>
      <c r="H132">
        <f t="shared" ca="1" si="26"/>
        <v>0</v>
      </c>
      <c r="I132">
        <f t="shared" ca="1" si="27"/>
        <v>0</v>
      </c>
      <c r="J132" s="353" t="s">
        <v>103</v>
      </c>
      <c r="K132" s="138" t="str">
        <f t="shared" ca="1" si="48"/>
        <v>1.8.0.0.20.</v>
      </c>
      <c r="L132" s="355" t="s">
        <v>231</v>
      </c>
      <c r="M132" s="355" t="s">
        <v>373</v>
      </c>
      <c r="N132" s="357" t="s">
        <v>537</v>
      </c>
      <c r="O132" s="358" t="s">
        <v>632</v>
      </c>
      <c r="P132" s="360">
        <v>3</v>
      </c>
      <c r="Q132" s="195"/>
      <c r="R132" s="198" t="s">
        <v>7</v>
      </c>
      <c r="S132" s="103">
        <f t="shared" si="49"/>
        <v>0</v>
      </c>
      <c r="T132" s="83">
        <f t="shared" si="50"/>
        <v>0</v>
      </c>
      <c r="U132" s="9" t="str">
        <f t="shared" si="51"/>
        <v>SEM VALOR</v>
      </c>
      <c r="V132" s="1" t="str">
        <f ca="1">IF(OR($A132=0,$A132="S",$A132&gt;CFF!$A$9),"",MAX(V$12:OFFSET(V132,-1,0))+1)</f>
        <v/>
      </c>
      <c r="W132" s="4" t="str">
        <f t="shared" si="52"/>
        <v>SINAPI-92343</v>
      </c>
      <c r="X132" s="1">
        <f t="shared" ca="1" si="53"/>
        <v>11085</v>
      </c>
      <c r="Y132" s="103">
        <v>192.82</v>
      </c>
      <c r="Z132" s="113">
        <f ca="1">ROUND(IF(ISNUMBER(R132),R132,IF(LEFT(R132,3)="BDI",HLOOKUP(R132,DADOS!$T$37:$X$38,2,FALSE),0)),15-11*$X$5)</f>
        <v>0.21390000000000001</v>
      </c>
      <c r="AA132" s="1"/>
    </row>
    <row r="133" spans="1:27" ht="25.5" x14ac:dyDescent="0.2">
      <c r="A133" t="str">
        <f t="shared" si="41"/>
        <v>S</v>
      </c>
      <c r="B133">
        <f t="shared" si="42"/>
        <v>0</v>
      </c>
      <c r="C133">
        <f t="shared" ca="1" si="43"/>
        <v>1</v>
      </c>
      <c r="D133">
        <f t="shared" ca="1" si="44"/>
        <v>8</v>
      </c>
      <c r="E133">
        <f t="shared" ca="1" si="45"/>
        <v>0</v>
      </c>
      <c r="F133">
        <f t="shared" ca="1" si="46"/>
        <v>0</v>
      </c>
      <c r="G133">
        <f t="shared" ca="1" si="47"/>
        <v>21</v>
      </c>
      <c r="H133">
        <f t="shared" ca="1" si="26"/>
        <v>0</v>
      </c>
      <c r="I133">
        <f t="shared" ca="1" si="27"/>
        <v>0</v>
      </c>
      <c r="J133" s="353" t="s">
        <v>103</v>
      </c>
      <c r="K133" s="138" t="str">
        <f t="shared" ca="1" si="48"/>
        <v>1.8.0.0.21.</v>
      </c>
      <c r="L133" s="355" t="s">
        <v>236</v>
      </c>
      <c r="M133" s="355" t="s">
        <v>374</v>
      </c>
      <c r="N133" s="357" t="s">
        <v>538</v>
      </c>
      <c r="O133" s="358" t="s">
        <v>629</v>
      </c>
      <c r="P133" s="360">
        <v>2</v>
      </c>
      <c r="Q133" s="195"/>
      <c r="R133" s="198" t="s">
        <v>7</v>
      </c>
      <c r="S133" s="103">
        <f t="shared" si="49"/>
        <v>0</v>
      </c>
      <c r="T133" s="83">
        <f t="shared" si="50"/>
        <v>0</v>
      </c>
      <c r="U133" s="9" t="str">
        <f t="shared" si="51"/>
        <v>SEM VALOR</v>
      </c>
      <c r="V133" s="1" t="str">
        <f ca="1">IF(OR($A133=0,$A133="S",$A133&gt;CFF!$A$9),"",MAX(V$12:OFFSET(V133,-1,0))+1)</f>
        <v/>
      </c>
      <c r="W133" s="4" t="str">
        <f t="shared" si="52"/>
        <v>SINAPI-I-2620</v>
      </c>
      <c r="X133" s="1">
        <f t="shared" ca="1" si="53"/>
        <v>1696</v>
      </c>
      <c r="Y133" s="103">
        <v>132.96</v>
      </c>
      <c r="Z133" s="113">
        <f ca="1">ROUND(IF(ISNUMBER(R133),R133,IF(LEFT(R133,3)="BDI",HLOOKUP(R133,DADOS!$T$37:$X$38,2,FALSE),0)),15-11*$X$5)</f>
        <v>0.21390000000000001</v>
      </c>
      <c r="AA133" s="1"/>
    </row>
    <row r="134" spans="1:27" x14ac:dyDescent="0.2">
      <c r="A134" t="str">
        <f t="shared" si="41"/>
        <v>S</v>
      </c>
      <c r="B134">
        <f t="shared" si="42"/>
        <v>0</v>
      </c>
      <c r="C134">
        <f t="shared" ca="1" si="43"/>
        <v>1</v>
      </c>
      <c r="D134">
        <f t="shared" ca="1" si="44"/>
        <v>8</v>
      </c>
      <c r="E134">
        <f t="shared" ca="1" si="45"/>
        <v>0</v>
      </c>
      <c r="F134">
        <f t="shared" ca="1" si="46"/>
        <v>0</v>
      </c>
      <c r="G134">
        <f t="shared" ca="1" si="47"/>
        <v>22</v>
      </c>
      <c r="H134">
        <f t="shared" ca="1" si="26"/>
        <v>0</v>
      </c>
      <c r="I134">
        <f t="shared" ca="1" si="27"/>
        <v>0</v>
      </c>
      <c r="J134" s="353" t="s">
        <v>103</v>
      </c>
      <c r="K134" s="138" t="str">
        <f t="shared" ca="1" si="48"/>
        <v>1.8.0.0.22.</v>
      </c>
      <c r="L134" s="355" t="s">
        <v>236</v>
      </c>
      <c r="M134" s="355" t="s">
        <v>375</v>
      </c>
      <c r="N134" s="357" t="s">
        <v>539</v>
      </c>
      <c r="O134" s="358" t="s">
        <v>629</v>
      </c>
      <c r="P134" s="360">
        <v>4</v>
      </c>
      <c r="Q134" s="195"/>
      <c r="R134" s="198" t="s">
        <v>7</v>
      </c>
      <c r="S134" s="103">
        <f t="shared" si="49"/>
        <v>0</v>
      </c>
      <c r="T134" s="83">
        <f t="shared" si="50"/>
        <v>0</v>
      </c>
      <c r="U134" s="9" t="str">
        <f t="shared" si="51"/>
        <v>SEM VALOR</v>
      </c>
      <c r="V134" s="1" t="str">
        <f ca="1">IF(OR($A134=0,$A134="S",$A134&gt;CFF!$A$9),"",MAX(V$12:OFFSET(V134,-1,0))+1)</f>
        <v/>
      </c>
      <c r="W134" s="4" t="str">
        <f t="shared" si="52"/>
        <v>SINAPI-I-39181</v>
      </c>
      <c r="X134" s="1">
        <f t="shared" ca="1" si="53"/>
        <v>790</v>
      </c>
      <c r="Y134" s="103">
        <v>11.23</v>
      </c>
      <c r="Z134" s="113">
        <f ca="1">ROUND(IF(ISNUMBER(R134),R134,IF(LEFT(R134,3)="BDI",HLOOKUP(R134,DADOS!$T$37:$X$38,2,FALSE),0)),15-11*$X$5)</f>
        <v>0.21390000000000001</v>
      </c>
      <c r="AA134" s="1"/>
    </row>
    <row r="135" spans="1:27" ht="25.5" x14ac:dyDescent="0.2">
      <c r="A135" t="str">
        <f t="shared" si="41"/>
        <v>S</v>
      </c>
      <c r="B135">
        <f t="shared" si="42"/>
        <v>0</v>
      </c>
      <c r="C135">
        <f t="shared" ca="1" si="43"/>
        <v>1</v>
      </c>
      <c r="D135">
        <f t="shared" ca="1" si="44"/>
        <v>8</v>
      </c>
      <c r="E135">
        <f t="shared" ca="1" si="45"/>
        <v>0</v>
      </c>
      <c r="F135">
        <f t="shared" ca="1" si="46"/>
        <v>0</v>
      </c>
      <c r="G135">
        <f t="shared" ca="1" si="47"/>
        <v>23</v>
      </c>
      <c r="H135">
        <f t="shared" ca="1" si="26"/>
        <v>0</v>
      </c>
      <c r="I135">
        <f t="shared" ca="1" si="27"/>
        <v>0</v>
      </c>
      <c r="J135" s="353" t="s">
        <v>103</v>
      </c>
      <c r="K135" s="138" t="str">
        <f t="shared" ca="1" si="48"/>
        <v>1.8.0.0.23.</v>
      </c>
      <c r="L135" s="355" t="s">
        <v>231</v>
      </c>
      <c r="M135" s="355" t="s">
        <v>376</v>
      </c>
      <c r="N135" s="357" t="s">
        <v>540</v>
      </c>
      <c r="O135" s="358" t="s">
        <v>632</v>
      </c>
      <c r="P135" s="360">
        <v>3</v>
      </c>
      <c r="Q135" s="195"/>
      <c r="R135" s="198" t="s">
        <v>7</v>
      </c>
      <c r="S135" s="103">
        <f t="shared" si="49"/>
        <v>0</v>
      </c>
      <c r="T135" s="83">
        <f t="shared" si="50"/>
        <v>0</v>
      </c>
      <c r="U135" s="9" t="str">
        <f t="shared" si="51"/>
        <v>SEM VALOR</v>
      </c>
      <c r="V135" s="1" t="str">
        <f ca="1">IF(OR($A135=0,$A135="S",$A135&gt;CFF!$A$9),"",MAX(V$12:OFFSET(V135,-1,0))+1)</f>
        <v/>
      </c>
      <c r="W135" s="4" t="str">
        <f t="shared" si="52"/>
        <v>SINAPI-97535</v>
      </c>
      <c r="X135" s="1">
        <f t="shared" ca="1" si="53"/>
        <v>11070</v>
      </c>
      <c r="Y135" s="103">
        <v>61.16</v>
      </c>
      <c r="Z135" s="113">
        <f ca="1">ROUND(IF(ISNUMBER(R135),R135,IF(LEFT(R135,3)="BDI",HLOOKUP(R135,DADOS!$T$37:$X$38,2,FALSE),0)),15-11*$X$5)</f>
        <v>0.21390000000000001</v>
      </c>
      <c r="AA135" s="1"/>
    </row>
    <row r="136" spans="1:27" x14ac:dyDescent="0.2">
      <c r="A136" t="str">
        <f t="shared" si="41"/>
        <v>S</v>
      </c>
      <c r="B136">
        <f t="shared" si="42"/>
        <v>0</v>
      </c>
      <c r="C136">
        <f t="shared" ca="1" si="43"/>
        <v>1</v>
      </c>
      <c r="D136">
        <f t="shared" ca="1" si="44"/>
        <v>8</v>
      </c>
      <c r="E136">
        <f t="shared" ca="1" si="45"/>
        <v>0</v>
      </c>
      <c r="F136">
        <f t="shared" ca="1" si="46"/>
        <v>0</v>
      </c>
      <c r="G136">
        <f t="shared" ca="1" si="47"/>
        <v>24</v>
      </c>
      <c r="H136">
        <f t="shared" ca="1" si="26"/>
        <v>0</v>
      </c>
      <c r="I136">
        <f t="shared" ca="1" si="27"/>
        <v>0</v>
      </c>
      <c r="J136" s="353" t="s">
        <v>103</v>
      </c>
      <c r="K136" s="138" t="str">
        <f t="shared" ca="1" si="48"/>
        <v>1.8.0.0.24.</v>
      </c>
      <c r="L136" s="355" t="s">
        <v>236</v>
      </c>
      <c r="M136" s="355" t="s">
        <v>377</v>
      </c>
      <c r="N136" s="357" t="s">
        <v>541</v>
      </c>
      <c r="O136" s="358" t="s">
        <v>629</v>
      </c>
      <c r="P136" s="360">
        <v>1</v>
      </c>
      <c r="Q136" s="195"/>
      <c r="R136" s="198" t="s">
        <v>7</v>
      </c>
      <c r="S136" s="103">
        <f t="shared" si="49"/>
        <v>0</v>
      </c>
      <c r="T136" s="83">
        <f t="shared" si="50"/>
        <v>0</v>
      </c>
      <c r="U136" s="9" t="str">
        <f t="shared" si="51"/>
        <v>SEM VALOR</v>
      </c>
      <c r="V136" s="1" t="str">
        <f ca="1">IF(OR($A136=0,$A136="S",$A136&gt;CFF!$A$9),"",MAX(V$12:OFFSET(V136,-1,0))+1)</f>
        <v/>
      </c>
      <c r="W136" s="4" t="str">
        <f t="shared" si="52"/>
        <v>SINAPI-I-2568</v>
      </c>
      <c r="X136" s="1">
        <f t="shared" ca="1" si="53"/>
        <v>1341</v>
      </c>
      <c r="Y136" s="103">
        <v>177.51</v>
      </c>
      <c r="Z136" s="113">
        <f ca="1">ROUND(IF(ISNUMBER(R136),R136,IF(LEFT(R136,3)="BDI",HLOOKUP(R136,DADOS!$T$37:$X$38,2,FALSE),0)),15-11*$X$5)</f>
        <v>0.21390000000000001</v>
      </c>
      <c r="AA136" s="1"/>
    </row>
    <row r="137" spans="1:27" ht="25.5" x14ac:dyDescent="0.2">
      <c r="A137" t="str">
        <f t="shared" si="41"/>
        <v>S</v>
      </c>
      <c r="B137">
        <f t="shared" si="42"/>
        <v>0</v>
      </c>
      <c r="C137">
        <f t="shared" ca="1" si="43"/>
        <v>1</v>
      </c>
      <c r="D137">
        <f t="shared" ca="1" si="44"/>
        <v>8</v>
      </c>
      <c r="E137">
        <f t="shared" ca="1" si="45"/>
        <v>0</v>
      </c>
      <c r="F137">
        <f t="shared" ca="1" si="46"/>
        <v>0</v>
      </c>
      <c r="G137">
        <f t="shared" ca="1" si="47"/>
        <v>25</v>
      </c>
      <c r="H137">
        <f t="shared" ca="1" si="26"/>
        <v>0</v>
      </c>
      <c r="I137">
        <f t="shared" ca="1" si="27"/>
        <v>0</v>
      </c>
      <c r="J137" s="353" t="s">
        <v>103</v>
      </c>
      <c r="K137" s="138" t="str">
        <f t="shared" ca="1" si="48"/>
        <v>1.8.0.0.25.</v>
      </c>
      <c r="L137" s="355" t="s">
        <v>231</v>
      </c>
      <c r="M137" s="355" t="s">
        <v>378</v>
      </c>
      <c r="N137" s="357" t="s">
        <v>542</v>
      </c>
      <c r="O137" s="358" t="s">
        <v>636</v>
      </c>
      <c r="P137" s="360">
        <v>0.05</v>
      </c>
      <c r="Q137" s="195"/>
      <c r="R137" s="198" t="s">
        <v>7</v>
      </c>
      <c r="S137" s="103">
        <f t="shared" si="49"/>
        <v>0</v>
      </c>
      <c r="T137" s="83">
        <f t="shared" si="50"/>
        <v>0</v>
      </c>
      <c r="U137" s="9" t="str">
        <f t="shared" si="51"/>
        <v>SEM VALOR</v>
      </c>
      <c r="V137" s="1" t="str">
        <f ca="1">IF(OR($A137=0,$A137="S",$A137&gt;CFF!$A$9),"",MAX(V$12:OFFSET(V137,-1,0))+1)</f>
        <v/>
      </c>
      <c r="W137" s="4" t="str">
        <f t="shared" si="52"/>
        <v>SINAPI-87398</v>
      </c>
      <c r="X137" s="1">
        <f t="shared" ca="1" si="53"/>
        <v>5044</v>
      </c>
      <c r="Y137" s="103">
        <v>2443.27</v>
      </c>
      <c r="Z137" s="113">
        <f ca="1">ROUND(IF(ISNUMBER(R137),R137,IF(LEFT(R137,3)="BDI",HLOOKUP(R137,DADOS!$T$37:$X$38,2,FALSE),0)),15-11*$X$5)</f>
        <v>0.21390000000000001</v>
      </c>
      <c r="AA137" s="1"/>
    </row>
    <row r="138" spans="1:27" x14ac:dyDescent="0.2">
      <c r="A138" t="str">
        <f t="shared" si="41"/>
        <v>S</v>
      </c>
      <c r="B138">
        <f t="shared" si="42"/>
        <v>0</v>
      </c>
      <c r="C138">
        <f t="shared" ca="1" si="43"/>
        <v>1</v>
      </c>
      <c r="D138">
        <f t="shared" ca="1" si="44"/>
        <v>8</v>
      </c>
      <c r="E138">
        <f t="shared" ca="1" si="45"/>
        <v>0</v>
      </c>
      <c r="F138">
        <f t="shared" ca="1" si="46"/>
        <v>0</v>
      </c>
      <c r="G138">
        <f t="shared" ca="1" si="47"/>
        <v>26</v>
      </c>
      <c r="H138">
        <f t="shared" ca="1" si="26"/>
        <v>0</v>
      </c>
      <c r="I138">
        <f t="shared" ca="1" si="27"/>
        <v>0</v>
      </c>
      <c r="J138" s="353" t="s">
        <v>103</v>
      </c>
      <c r="K138" s="138" t="str">
        <f t="shared" ca="1" si="48"/>
        <v>1.8.0.0.26.</v>
      </c>
      <c r="L138" s="355" t="s">
        <v>231</v>
      </c>
      <c r="M138" s="355" t="s">
        <v>379</v>
      </c>
      <c r="N138" s="357" t="s">
        <v>543</v>
      </c>
      <c r="O138" s="358" t="s">
        <v>637</v>
      </c>
      <c r="P138" s="360">
        <v>8</v>
      </c>
      <c r="Q138" s="195"/>
      <c r="R138" s="198" t="s">
        <v>7</v>
      </c>
      <c r="S138" s="103">
        <f t="shared" si="49"/>
        <v>0</v>
      </c>
      <c r="T138" s="83">
        <f t="shared" si="50"/>
        <v>0</v>
      </c>
      <c r="U138" s="9" t="str">
        <f t="shared" si="51"/>
        <v>SEM VALOR</v>
      </c>
      <c r="V138" s="1" t="str">
        <f ca="1">IF(OR($A138=0,$A138="S",$A138&gt;CFF!$A$9),"",MAX(V$12:OFFSET(V138,-1,0))+1)</f>
        <v/>
      </c>
      <c r="W138" s="4" t="str">
        <f t="shared" si="52"/>
        <v>SINAPI-88309</v>
      </c>
      <c r="X138" s="1">
        <f t="shared" ca="1" si="53"/>
        <v>12003</v>
      </c>
      <c r="Y138" s="103">
        <v>34.07</v>
      </c>
      <c r="Z138" s="113">
        <f ca="1">ROUND(IF(ISNUMBER(R138),R138,IF(LEFT(R138,3)="BDI",HLOOKUP(R138,DADOS!$T$37:$X$38,2,FALSE),0)),15-11*$X$5)</f>
        <v>0.21390000000000001</v>
      </c>
      <c r="AA138" s="1"/>
    </row>
    <row r="139" spans="1:27" ht="25.5" x14ac:dyDescent="0.2">
      <c r="A139" t="str">
        <f t="shared" si="41"/>
        <v>S</v>
      </c>
      <c r="B139">
        <f t="shared" si="42"/>
        <v>0</v>
      </c>
      <c r="C139">
        <f t="shared" ca="1" si="43"/>
        <v>1</v>
      </c>
      <c r="D139">
        <f t="shared" ca="1" si="44"/>
        <v>8</v>
      </c>
      <c r="E139">
        <f t="shared" ca="1" si="45"/>
        <v>0</v>
      </c>
      <c r="F139">
        <f t="shared" ca="1" si="46"/>
        <v>0</v>
      </c>
      <c r="G139">
        <f t="shared" ca="1" si="47"/>
        <v>27</v>
      </c>
      <c r="H139">
        <f t="shared" ca="1" si="26"/>
        <v>0</v>
      </c>
      <c r="I139">
        <f t="shared" ca="1" si="27"/>
        <v>0</v>
      </c>
      <c r="J139" s="353" t="s">
        <v>103</v>
      </c>
      <c r="K139" s="138" t="str">
        <f t="shared" ca="1" si="48"/>
        <v>1.8.0.0.27.</v>
      </c>
      <c r="L139" s="355" t="s">
        <v>231</v>
      </c>
      <c r="M139" s="355" t="s">
        <v>380</v>
      </c>
      <c r="N139" s="357" t="s">
        <v>544</v>
      </c>
      <c r="O139" s="358" t="s">
        <v>629</v>
      </c>
      <c r="P139" s="360">
        <v>8</v>
      </c>
      <c r="Q139" s="195"/>
      <c r="R139" s="198" t="s">
        <v>7</v>
      </c>
      <c r="S139" s="103">
        <f t="shared" si="49"/>
        <v>0</v>
      </c>
      <c r="T139" s="83">
        <f t="shared" si="50"/>
        <v>0</v>
      </c>
      <c r="U139" s="9" t="str">
        <f t="shared" si="51"/>
        <v>SEM VALOR</v>
      </c>
      <c r="V139" s="1" t="str">
        <f ca="1">IF(OR($A139=0,$A139="S",$A139&gt;CFF!$A$9),"",MAX(V$12:OFFSET(V139,-1,0))+1)</f>
        <v/>
      </c>
      <c r="W139" s="4" t="str">
        <f t="shared" si="52"/>
        <v>SINAPI-91953</v>
      </c>
      <c r="X139" s="1">
        <f t="shared" ca="1" si="53"/>
        <v>9389</v>
      </c>
      <c r="Y139" s="103">
        <v>40.44</v>
      </c>
      <c r="Z139" s="113">
        <f ca="1">ROUND(IF(ISNUMBER(R139),R139,IF(LEFT(R139,3)="BDI",HLOOKUP(R139,DADOS!$T$37:$X$38,2,FALSE),0)),15-11*$X$5)</f>
        <v>0.21390000000000001</v>
      </c>
      <c r="AA139" s="1"/>
    </row>
    <row r="140" spans="1:27" ht="25.5" x14ac:dyDescent="0.2">
      <c r="A140" t="str">
        <f t="shared" si="41"/>
        <v>S</v>
      </c>
      <c r="B140">
        <f t="shared" si="42"/>
        <v>0</v>
      </c>
      <c r="C140">
        <f t="shared" ca="1" si="43"/>
        <v>1</v>
      </c>
      <c r="D140">
        <f t="shared" ca="1" si="44"/>
        <v>8</v>
      </c>
      <c r="E140">
        <f t="shared" ca="1" si="45"/>
        <v>0</v>
      </c>
      <c r="F140">
        <f t="shared" ca="1" si="46"/>
        <v>0</v>
      </c>
      <c r="G140">
        <f t="shared" ca="1" si="47"/>
        <v>28</v>
      </c>
      <c r="H140">
        <f t="shared" ca="1" si="26"/>
        <v>0</v>
      </c>
      <c r="I140">
        <f t="shared" ca="1" si="27"/>
        <v>0</v>
      </c>
      <c r="J140" s="353" t="s">
        <v>103</v>
      </c>
      <c r="K140" s="138" t="str">
        <f t="shared" ca="1" si="48"/>
        <v>1.8.0.0.28.</v>
      </c>
      <c r="L140" s="355" t="s">
        <v>231</v>
      </c>
      <c r="M140" s="355" t="s">
        <v>381</v>
      </c>
      <c r="N140" s="357" t="s">
        <v>545</v>
      </c>
      <c r="O140" s="358" t="s">
        <v>629</v>
      </c>
      <c r="P140" s="360">
        <v>17</v>
      </c>
      <c r="Q140" s="195"/>
      <c r="R140" s="198" t="s">
        <v>7</v>
      </c>
      <c r="S140" s="103">
        <f t="shared" si="49"/>
        <v>0</v>
      </c>
      <c r="T140" s="83">
        <f t="shared" si="50"/>
        <v>0</v>
      </c>
      <c r="U140" s="9" t="str">
        <f t="shared" si="51"/>
        <v>SEM VALOR</v>
      </c>
      <c r="V140" s="1" t="str">
        <f ca="1">IF(OR($A140=0,$A140="S",$A140&gt;CFF!$A$9),"",MAX(V$12:OFFSET(V140,-1,0))+1)</f>
        <v/>
      </c>
      <c r="W140" s="4" t="str">
        <f t="shared" si="52"/>
        <v>SINAPI-91959</v>
      </c>
      <c r="X140" s="1">
        <f t="shared" ca="1" si="53"/>
        <v>9399</v>
      </c>
      <c r="Y140" s="103">
        <v>61.76</v>
      </c>
      <c r="Z140" s="113">
        <f ca="1">ROUND(IF(ISNUMBER(R140),R140,IF(LEFT(R140,3)="BDI",HLOOKUP(R140,DADOS!$T$37:$X$38,2,FALSE),0)),15-11*$X$5)</f>
        <v>0.21390000000000001</v>
      </c>
      <c r="AA140" s="1"/>
    </row>
    <row r="141" spans="1:27" ht="25.5" x14ac:dyDescent="0.2">
      <c r="A141" t="str">
        <f t="shared" si="41"/>
        <v>S</v>
      </c>
      <c r="B141">
        <f t="shared" si="42"/>
        <v>0</v>
      </c>
      <c r="C141">
        <f t="shared" ca="1" si="43"/>
        <v>1</v>
      </c>
      <c r="D141">
        <f t="shared" ca="1" si="44"/>
        <v>8</v>
      </c>
      <c r="E141">
        <f t="shared" ca="1" si="45"/>
        <v>0</v>
      </c>
      <c r="F141">
        <f t="shared" ca="1" si="46"/>
        <v>0</v>
      </c>
      <c r="G141">
        <f t="shared" ca="1" si="47"/>
        <v>29</v>
      </c>
      <c r="H141">
        <f t="shared" ca="1" si="26"/>
        <v>0</v>
      </c>
      <c r="I141">
        <f t="shared" ca="1" si="27"/>
        <v>0</v>
      </c>
      <c r="J141" s="353" t="s">
        <v>103</v>
      </c>
      <c r="K141" s="138" t="str">
        <f t="shared" ca="1" si="48"/>
        <v>1.8.0.0.29.</v>
      </c>
      <c r="L141" s="355" t="s">
        <v>231</v>
      </c>
      <c r="M141" s="355" t="s">
        <v>382</v>
      </c>
      <c r="N141" s="357" t="s">
        <v>546</v>
      </c>
      <c r="O141" s="358" t="s">
        <v>629</v>
      </c>
      <c r="P141" s="360">
        <v>4</v>
      </c>
      <c r="Q141" s="195"/>
      <c r="R141" s="198" t="s">
        <v>7</v>
      </c>
      <c r="S141" s="103">
        <f t="shared" si="49"/>
        <v>0</v>
      </c>
      <c r="T141" s="83">
        <f t="shared" si="50"/>
        <v>0</v>
      </c>
      <c r="U141" s="9" t="str">
        <f t="shared" si="51"/>
        <v>SEM VALOR</v>
      </c>
      <c r="V141" s="1" t="str">
        <f ca="1">IF(OR($A141=0,$A141="S",$A141&gt;CFF!$A$9),"",MAX(V$12:OFFSET(V141,-1,0))+1)</f>
        <v/>
      </c>
      <c r="W141" s="4" t="str">
        <f t="shared" si="52"/>
        <v>SINAPI-91967</v>
      </c>
      <c r="X141" s="1">
        <f t="shared" ca="1" si="53"/>
        <v>9403</v>
      </c>
      <c r="Y141" s="103">
        <v>83.12</v>
      </c>
      <c r="Z141" s="113">
        <f ca="1">ROUND(IF(ISNUMBER(R141),R141,IF(LEFT(R141,3)="BDI",HLOOKUP(R141,DADOS!$T$37:$X$38,2,FALSE),0)),15-11*$X$5)</f>
        <v>0.21390000000000001</v>
      </c>
      <c r="AA141" s="1"/>
    </row>
    <row r="142" spans="1:27" ht="25.5" x14ac:dyDescent="0.2">
      <c r="A142" t="str">
        <f t="shared" si="41"/>
        <v>S</v>
      </c>
      <c r="B142">
        <f t="shared" si="42"/>
        <v>0</v>
      </c>
      <c r="C142">
        <f t="shared" ca="1" si="43"/>
        <v>1</v>
      </c>
      <c r="D142">
        <f t="shared" ca="1" si="44"/>
        <v>8</v>
      </c>
      <c r="E142">
        <f t="shared" ca="1" si="45"/>
        <v>0</v>
      </c>
      <c r="F142">
        <f t="shared" ca="1" si="46"/>
        <v>0</v>
      </c>
      <c r="G142">
        <f t="shared" ca="1" si="47"/>
        <v>30</v>
      </c>
      <c r="H142">
        <f t="shared" ref="H142:H205" ca="1" si="54">IF(OR($A142="S",$A142=0),0,MATCH(0,OFFSET($B142,1,$A142,ROW($A$242)-ROW($A142)),0))</f>
        <v>0</v>
      </c>
      <c r="I142">
        <f t="shared" ref="I142:I205" ca="1" si="55">IF(OR($A142="S",$A142=0),0,MATCH(OFFSET($B142,0,$A142)+1,OFFSET($B142,1,$A142,ROW($A$242)-ROW($A142)),0))</f>
        <v>0</v>
      </c>
      <c r="J142" s="353" t="s">
        <v>103</v>
      </c>
      <c r="K142" s="138" t="str">
        <f t="shared" ca="1" si="48"/>
        <v>1.8.0.0.30.</v>
      </c>
      <c r="L142" s="355" t="s">
        <v>231</v>
      </c>
      <c r="M142" s="355" t="s">
        <v>304</v>
      </c>
      <c r="N142" s="357" t="s">
        <v>547</v>
      </c>
      <c r="O142" s="358" t="s">
        <v>629</v>
      </c>
      <c r="P142" s="360">
        <v>11</v>
      </c>
      <c r="Q142" s="195"/>
      <c r="R142" s="198" t="s">
        <v>7</v>
      </c>
      <c r="S142" s="103">
        <f t="shared" si="49"/>
        <v>0</v>
      </c>
      <c r="T142" s="83">
        <f t="shared" si="50"/>
        <v>0</v>
      </c>
      <c r="U142" s="9" t="str">
        <f t="shared" si="51"/>
        <v>SEM VALOR</v>
      </c>
      <c r="V142" s="1" t="str">
        <f ca="1">IF(OR($A142=0,$A142="S",$A142&gt;CFF!$A$9),"",MAX(V$12:OFFSET(V142,-1,0))+1)</f>
        <v/>
      </c>
      <c r="W142" s="4" t="str">
        <f t="shared" si="52"/>
        <v>SINAPI-92023</v>
      </c>
      <c r="X142" s="1">
        <f t="shared" ca="1" si="53"/>
        <v>9381</v>
      </c>
      <c r="Y142" s="103">
        <v>68.760000000000005</v>
      </c>
      <c r="Z142" s="113">
        <f ca="1">ROUND(IF(ISNUMBER(R142),R142,IF(LEFT(R142,3)="BDI",HLOOKUP(R142,DADOS!$T$37:$X$38,2,FALSE),0)),15-11*$X$5)</f>
        <v>0.21390000000000001</v>
      </c>
      <c r="AA142" s="1"/>
    </row>
    <row r="143" spans="1:27" ht="25.5" x14ac:dyDescent="0.2">
      <c r="A143" t="str">
        <f t="shared" si="41"/>
        <v>S</v>
      </c>
      <c r="B143">
        <f t="shared" si="42"/>
        <v>0</v>
      </c>
      <c r="C143">
        <f t="shared" ca="1" si="43"/>
        <v>1</v>
      </c>
      <c r="D143">
        <f t="shared" ca="1" si="44"/>
        <v>8</v>
      </c>
      <c r="E143">
        <f t="shared" ca="1" si="45"/>
        <v>0</v>
      </c>
      <c r="F143">
        <f t="shared" ca="1" si="46"/>
        <v>0</v>
      </c>
      <c r="G143">
        <f t="shared" ca="1" si="47"/>
        <v>31</v>
      </c>
      <c r="H143">
        <f t="shared" ca="1" si="54"/>
        <v>0</v>
      </c>
      <c r="I143">
        <f t="shared" ca="1" si="55"/>
        <v>0</v>
      </c>
      <c r="J143" s="353" t="s">
        <v>103</v>
      </c>
      <c r="K143" s="138" t="str">
        <f t="shared" ca="1" si="48"/>
        <v>1.8.0.0.31.</v>
      </c>
      <c r="L143" s="355" t="s">
        <v>231</v>
      </c>
      <c r="M143" s="355" t="s">
        <v>383</v>
      </c>
      <c r="N143" s="357" t="s">
        <v>548</v>
      </c>
      <c r="O143" s="358" t="s">
        <v>629</v>
      </c>
      <c r="P143" s="360">
        <v>2</v>
      </c>
      <c r="Q143" s="195"/>
      <c r="R143" s="198" t="s">
        <v>7</v>
      </c>
      <c r="S143" s="103">
        <f t="shared" si="49"/>
        <v>0</v>
      </c>
      <c r="T143" s="83">
        <f t="shared" si="50"/>
        <v>0</v>
      </c>
      <c r="U143" s="9" t="str">
        <f t="shared" si="51"/>
        <v>SEM VALOR</v>
      </c>
      <c r="V143" s="1" t="str">
        <f ca="1">IF(OR($A143=0,$A143="S",$A143&gt;CFF!$A$9),"",MAX(V$12:OFFSET(V143,-1,0))+1)</f>
        <v/>
      </c>
      <c r="W143" s="4" t="str">
        <f t="shared" si="52"/>
        <v>SINAPI-92027</v>
      </c>
      <c r="X143" s="1">
        <f t="shared" ca="1" si="53"/>
        <v>9393</v>
      </c>
      <c r="Y143" s="103">
        <v>90.11</v>
      </c>
      <c r="Z143" s="113">
        <f ca="1">ROUND(IF(ISNUMBER(R143),R143,IF(LEFT(R143,3)="BDI",HLOOKUP(R143,DADOS!$T$37:$X$38,2,FALSE),0)),15-11*$X$5)</f>
        <v>0.21390000000000001</v>
      </c>
      <c r="AA143" s="1"/>
    </row>
    <row r="144" spans="1:27" ht="25.5" x14ac:dyDescent="0.2">
      <c r="A144" t="str">
        <f t="shared" si="41"/>
        <v>S</v>
      </c>
      <c r="B144">
        <f t="shared" si="42"/>
        <v>0</v>
      </c>
      <c r="C144">
        <f t="shared" ca="1" si="43"/>
        <v>1</v>
      </c>
      <c r="D144">
        <f t="shared" ca="1" si="44"/>
        <v>8</v>
      </c>
      <c r="E144">
        <f t="shared" ca="1" si="45"/>
        <v>0</v>
      </c>
      <c r="F144">
        <f t="shared" ca="1" si="46"/>
        <v>0</v>
      </c>
      <c r="G144">
        <f t="shared" ca="1" si="47"/>
        <v>32</v>
      </c>
      <c r="H144">
        <f t="shared" ca="1" si="54"/>
        <v>0</v>
      </c>
      <c r="I144">
        <f t="shared" ca="1" si="55"/>
        <v>0</v>
      </c>
      <c r="J144" s="353" t="s">
        <v>103</v>
      </c>
      <c r="K144" s="138" t="str">
        <f t="shared" ca="1" si="48"/>
        <v>1.8.0.0.32.</v>
      </c>
      <c r="L144" s="355" t="s">
        <v>231</v>
      </c>
      <c r="M144" s="355" t="s">
        <v>384</v>
      </c>
      <c r="N144" s="357" t="s">
        <v>549</v>
      </c>
      <c r="O144" s="358" t="s">
        <v>629</v>
      </c>
      <c r="P144" s="360">
        <v>91</v>
      </c>
      <c r="Q144" s="195"/>
      <c r="R144" s="198" t="s">
        <v>7</v>
      </c>
      <c r="S144" s="103">
        <f t="shared" ref="S144:S175" si="56">IF($A144="S",IF($Q$10="Preço Unitário (R$)",PO.CustoUnitario,ROUND(PO.CustoUnitario*(1+$Z144),15-13*$X$6)),0)</f>
        <v>0</v>
      </c>
      <c r="T144" s="83">
        <f t="shared" ref="T144:T175" si="57">IF($A144="S",VTOTAL1,IF($A144=0,0,ROUND(SomaAgrup,15-13*$X$7)))</f>
        <v>0</v>
      </c>
      <c r="U144" s="9" t="str">
        <f t="shared" si="51"/>
        <v>SEM VALOR</v>
      </c>
      <c r="V144" s="1" t="str">
        <f ca="1">IF(OR($A144=0,$A144="S",$A144&gt;CFF!$A$9),"",MAX(V$12:OFFSET(V144,-1,0))+1)</f>
        <v/>
      </c>
      <c r="W144" s="4" t="str">
        <f t="shared" si="52"/>
        <v>SINAPI-91993</v>
      </c>
      <c r="X144" s="1">
        <f t="shared" ref="X144:X175" ca="1" si="58">IF(AND(Fonte&lt;&gt;"",Código&lt;&gt;""),MATCH(Fonte&amp;" "&amp;IF(Fonte="sinapi",SUBSTITUTE(SUBSTITUTE(Código,"/00","/"),"/0","/"),Código),INDIRECT("'[Referência "&amp;_xlnm.Database&amp;".xls]Banco'!$a:$a"),0),"X")</f>
        <v>9429</v>
      </c>
      <c r="Y144" s="103">
        <v>63.62</v>
      </c>
      <c r="Z144" s="113">
        <f ca="1">ROUND(IF(ISNUMBER(R144),R144,IF(LEFT(R144,3)="BDI",HLOOKUP(R144,DADOS!$T$37:$X$38,2,FALSE),0)),15-11*$X$5)</f>
        <v>0.21390000000000001</v>
      </c>
      <c r="AA144" s="1"/>
    </row>
    <row r="145" spans="1:27" ht="25.5" x14ac:dyDescent="0.2">
      <c r="A145" t="str">
        <f t="shared" si="41"/>
        <v>S</v>
      </c>
      <c r="B145">
        <f t="shared" si="42"/>
        <v>0</v>
      </c>
      <c r="C145">
        <f t="shared" ca="1" si="43"/>
        <v>1</v>
      </c>
      <c r="D145">
        <f t="shared" ca="1" si="44"/>
        <v>8</v>
      </c>
      <c r="E145">
        <f t="shared" ca="1" si="45"/>
        <v>0</v>
      </c>
      <c r="F145">
        <f t="shared" ca="1" si="46"/>
        <v>0</v>
      </c>
      <c r="G145">
        <f t="shared" ca="1" si="47"/>
        <v>33</v>
      </c>
      <c r="H145">
        <f t="shared" ca="1" si="54"/>
        <v>0</v>
      </c>
      <c r="I145">
        <f t="shared" ca="1" si="55"/>
        <v>0</v>
      </c>
      <c r="J145" s="353" t="s">
        <v>103</v>
      </c>
      <c r="K145" s="138" t="str">
        <f t="shared" ca="1" si="48"/>
        <v>1.8.0.0.33.</v>
      </c>
      <c r="L145" s="355" t="s">
        <v>231</v>
      </c>
      <c r="M145" s="355" t="s">
        <v>385</v>
      </c>
      <c r="N145" s="357" t="s">
        <v>550</v>
      </c>
      <c r="O145" s="358" t="s">
        <v>629</v>
      </c>
      <c r="P145" s="360">
        <v>15</v>
      </c>
      <c r="Q145" s="195"/>
      <c r="R145" s="198" t="s">
        <v>7</v>
      </c>
      <c r="S145" s="103">
        <f t="shared" si="56"/>
        <v>0</v>
      </c>
      <c r="T145" s="83">
        <f t="shared" si="57"/>
        <v>0</v>
      </c>
      <c r="U145" s="9" t="str">
        <f t="shared" si="51"/>
        <v>SEM VALOR</v>
      </c>
      <c r="V145" s="1" t="str">
        <f ca="1">IF(OR($A145=0,$A145="S",$A145&gt;CFF!$A$9),"",MAX(V$12:OFFSET(V145,-1,0))+1)</f>
        <v/>
      </c>
      <c r="W145" s="4" t="str">
        <f t="shared" si="52"/>
        <v>SINAPI-92001</v>
      </c>
      <c r="X145" s="1">
        <f t="shared" ca="1" si="58"/>
        <v>9433</v>
      </c>
      <c r="Y145" s="103">
        <v>45.67</v>
      </c>
      <c r="Z145" s="113">
        <f ca="1">ROUND(IF(ISNUMBER(R145),R145,IF(LEFT(R145,3)="BDI",HLOOKUP(R145,DADOS!$T$37:$X$38,2,FALSE),0)),15-11*$X$5)</f>
        <v>0.21390000000000001</v>
      </c>
      <c r="AA145" s="1"/>
    </row>
    <row r="146" spans="1:27" ht="25.5" x14ac:dyDescent="0.2">
      <c r="A146" t="str">
        <f t="shared" si="41"/>
        <v>S</v>
      </c>
      <c r="B146">
        <f t="shared" si="42"/>
        <v>0</v>
      </c>
      <c r="C146">
        <f t="shared" ca="1" si="43"/>
        <v>1</v>
      </c>
      <c r="D146">
        <f t="shared" ca="1" si="44"/>
        <v>8</v>
      </c>
      <c r="E146">
        <f t="shared" ca="1" si="45"/>
        <v>0</v>
      </c>
      <c r="F146">
        <f t="shared" ca="1" si="46"/>
        <v>0</v>
      </c>
      <c r="G146">
        <f t="shared" ca="1" si="47"/>
        <v>34</v>
      </c>
      <c r="H146">
        <f t="shared" ca="1" si="54"/>
        <v>0</v>
      </c>
      <c r="I146">
        <f t="shared" ca="1" si="55"/>
        <v>0</v>
      </c>
      <c r="J146" s="353" t="s">
        <v>103</v>
      </c>
      <c r="K146" s="138" t="str">
        <f t="shared" ca="1" si="48"/>
        <v>1.8.0.0.34.</v>
      </c>
      <c r="L146" s="355" t="s">
        <v>231</v>
      </c>
      <c r="M146" s="355" t="s">
        <v>386</v>
      </c>
      <c r="N146" s="357" t="s">
        <v>551</v>
      </c>
      <c r="O146" s="358" t="s">
        <v>629</v>
      </c>
      <c r="P146" s="360">
        <v>164</v>
      </c>
      <c r="Q146" s="195"/>
      <c r="R146" s="198" t="s">
        <v>7</v>
      </c>
      <c r="S146" s="103">
        <f t="shared" si="56"/>
        <v>0</v>
      </c>
      <c r="T146" s="83">
        <f t="shared" si="57"/>
        <v>0</v>
      </c>
      <c r="U146" s="9" t="str">
        <f t="shared" si="51"/>
        <v>SEM VALOR</v>
      </c>
      <c r="V146" s="1" t="str">
        <f ca="1">IF(OR($A146=0,$A146="S",$A146&gt;CFF!$A$9),"",MAX(V$12:OFFSET(V146,-1,0))+1)</f>
        <v/>
      </c>
      <c r="W146" s="4" t="str">
        <f t="shared" si="52"/>
        <v>SINAPI-91997</v>
      </c>
      <c r="X146" s="1">
        <f t="shared" ca="1" si="58"/>
        <v>9449</v>
      </c>
      <c r="Y146" s="103">
        <v>50.67</v>
      </c>
      <c r="Z146" s="113">
        <f ca="1">ROUND(IF(ISNUMBER(R146),R146,IF(LEFT(R146,3)="BDI",HLOOKUP(R146,DADOS!$T$37:$X$38,2,FALSE),0)),15-11*$X$5)</f>
        <v>0.21390000000000001</v>
      </c>
      <c r="AA146" s="1"/>
    </row>
    <row r="147" spans="1:27" ht="25.5" x14ac:dyDescent="0.2">
      <c r="A147" t="str">
        <f t="shared" si="41"/>
        <v>S</v>
      </c>
      <c r="B147">
        <f t="shared" si="42"/>
        <v>0</v>
      </c>
      <c r="C147">
        <f t="shared" ca="1" si="43"/>
        <v>1</v>
      </c>
      <c r="D147">
        <f t="shared" ca="1" si="44"/>
        <v>8</v>
      </c>
      <c r="E147">
        <f t="shared" ca="1" si="45"/>
        <v>0</v>
      </c>
      <c r="F147">
        <f t="shared" ca="1" si="46"/>
        <v>0</v>
      </c>
      <c r="G147">
        <f t="shared" ca="1" si="47"/>
        <v>35</v>
      </c>
      <c r="H147">
        <f t="shared" ca="1" si="54"/>
        <v>0</v>
      </c>
      <c r="I147">
        <f t="shared" ca="1" si="55"/>
        <v>0</v>
      </c>
      <c r="J147" s="353" t="s">
        <v>103</v>
      </c>
      <c r="K147" s="138" t="str">
        <f t="shared" ca="1" si="48"/>
        <v>1.8.0.0.35.</v>
      </c>
      <c r="L147" s="355" t="s">
        <v>231</v>
      </c>
      <c r="M147" s="355" t="s">
        <v>387</v>
      </c>
      <c r="N147" s="357" t="s">
        <v>552</v>
      </c>
      <c r="O147" s="358" t="s">
        <v>629</v>
      </c>
      <c r="P147" s="360">
        <v>24</v>
      </c>
      <c r="Q147" s="195"/>
      <c r="R147" s="198" t="s">
        <v>7</v>
      </c>
      <c r="S147" s="103">
        <f t="shared" si="56"/>
        <v>0</v>
      </c>
      <c r="T147" s="83">
        <f t="shared" si="57"/>
        <v>0</v>
      </c>
      <c r="U147" s="9" t="str">
        <f t="shared" si="51"/>
        <v>SEM VALOR</v>
      </c>
      <c r="V147" s="1" t="str">
        <f ca="1">IF(OR($A147=0,$A147="S",$A147&gt;CFF!$A$9),"",MAX(V$12:OFFSET(V147,-1,0))+1)</f>
        <v/>
      </c>
      <c r="W147" s="4" t="str">
        <f t="shared" si="52"/>
        <v>SINAPI-92009</v>
      </c>
      <c r="X147" s="1">
        <f t="shared" ca="1" si="58"/>
        <v>9437</v>
      </c>
      <c r="Y147" s="103">
        <v>72.17</v>
      </c>
      <c r="Z147" s="113">
        <f ca="1">ROUND(IF(ISNUMBER(R147),R147,IF(LEFT(R147,3)="BDI",HLOOKUP(R147,DADOS!$T$37:$X$38,2,FALSE),0)),15-11*$X$5)</f>
        <v>0.21390000000000001</v>
      </c>
      <c r="AA147" s="1"/>
    </row>
    <row r="148" spans="1:27" ht="25.5" x14ac:dyDescent="0.2">
      <c r="A148" t="str">
        <f t="shared" si="41"/>
        <v>S</v>
      </c>
      <c r="B148">
        <f t="shared" si="42"/>
        <v>0</v>
      </c>
      <c r="C148">
        <f t="shared" ca="1" si="43"/>
        <v>1</v>
      </c>
      <c r="D148">
        <f t="shared" ca="1" si="44"/>
        <v>8</v>
      </c>
      <c r="E148">
        <f t="shared" ca="1" si="45"/>
        <v>0</v>
      </c>
      <c r="F148">
        <f t="shared" ca="1" si="46"/>
        <v>0</v>
      </c>
      <c r="G148">
        <f t="shared" ca="1" si="47"/>
        <v>36</v>
      </c>
      <c r="H148">
        <f t="shared" ca="1" si="54"/>
        <v>0</v>
      </c>
      <c r="I148">
        <f t="shared" ca="1" si="55"/>
        <v>0</v>
      </c>
      <c r="J148" s="353" t="s">
        <v>103</v>
      </c>
      <c r="K148" s="138" t="str">
        <f t="shared" ca="1" si="48"/>
        <v>1.8.0.0.36.</v>
      </c>
      <c r="L148" s="355" t="s">
        <v>231</v>
      </c>
      <c r="M148" s="355" t="s">
        <v>388</v>
      </c>
      <c r="N148" s="357" t="s">
        <v>553</v>
      </c>
      <c r="O148" s="358" t="s">
        <v>629</v>
      </c>
      <c r="P148" s="360">
        <v>347</v>
      </c>
      <c r="Q148" s="195"/>
      <c r="R148" s="198" t="s">
        <v>7</v>
      </c>
      <c r="S148" s="103">
        <f t="shared" si="56"/>
        <v>0</v>
      </c>
      <c r="T148" s="83">
        <f t="shared" si="57"/>
        <v>0</v>
      </c>
      <c r="U148" s="9" t="str">
        <f t="shared" si="51"/>
        <v>SEM VALOR</v>
      </c>
      <c r="V148" s="1" t="str">
        <f ca="1">IF(OR($A148=0,$A148="S",$A148&gt;CFF!$A$9),"",MAX(V$12:OFFSET(V148,-1,0))+1)</f>
        <v/>
      </c>
      <c r="W148" s="4" t="str">
        <f t="shared" si="52"/>
        <v>SINAPI-95805</v>
      </c>
      <c r="X148" s="1">
        <f t="shared" ca="1" si="58"/>
        <v>9487</v>
      </c>
      <c r="Y148" s="103">
        <v>30.41</v>
      </c>
      <c r="Z148" s="113">
        <f ca="1">ROUND(IF(ISNUMBER(R148),R148,IF(LEFT(R148,3)="BDI",HLOOKUP(R148,DADOS!$T$37:$X$38,2,FALSE),0)),15-11*$X$5)</f>
        <v>0.21390000000000001</v>
      </c>
      <c r="AA148" s="1"/>
    </row>
    <row r="149" spans="1:27" ht="25.5" x14ac:dyDescent="0.2">
      <c r="A149" t="str">
        <f t="shared" si="41"/>
        <v>S</v>
      </c>
      <c r="B149">
        <f t="shared" si="42"/>
        <v>0</v>
      </c>
      <c r="C149">
        <f t="shared" ca="1" si="43"/>
        <v>1</v>
      </c>
      <c r="D149">
        <f t="shared" ca="1" si="44"/>
        <v>8</v>
      </c>
      <c r="E149">
        <f t="shared" ca="1" si="45"/>
        <v>0</v>
      </c>
      <c r="F149">
        <f t="shared" ca="1" si="46"/>
        <v>0</v>
      </c>
      <c r="G149">
        <f t="shared" ca="1" si="47"/>
        <v>37</v>
      </c>
      <c r="H149">
        <f t="shared" ca="1" si="54"/>
        <v>0</v>
      </c>
      <c r="I149">
        <f t="shared" ca="1" si="55"/>
        <v>0</v>
      </c>
      <c r="J149" s="353" t="s">
        <v>103</v>
      </c>
      <c r="K149" s="138" t="str">
        <f t="shared" ca="1" si="48"/>
        <v>1.8.0.0.37.</v>
      </c>
      <c r="L149" s="355" t="s">
        <v>237</v>
      </c>
      <c r="M149" s="355" t="s">
        <v>413</v>
      </c>
      <c r="N149" s="357" t="s">
        <v>554</v>
      </c>
      <c r="O149" s="358" t="s">
        <v>635</v>
      </c>
      <c r="P149" s="360">
        <v>2</v>
      </c>
      <c r="Q149" s="195"/>
      <c r="R149" s="198" t="s">
        <v>7</v>
      </c>
      <c r="S149" s="103">
        <f t="shared" si="56"/>
        <v>0</v>
      </c>
      <c r="T149" s="83">
        <f t="shared" si="57"/>
        <v>0</v>
      </c>
      <c r="U149" s="9" t="str">
        <f t="shared" si="51"/>
        <v>SEM VALOR</v>
      </c>
      <c r="V149" s="1" t="str">
        <f ca="1">IF(OR($A149=0,$A149="S",$A149&gt;CFF!$A$9),"",MAX(V$12:OFFSET(V149,-1,0))+1)</f>
        <v/>
      </c>
      <c r="W149" s="4" t="str">
        <f t="shared" si="52"/>
        <v>PM BENTO-146</v>
      </c>
      <c r="X149" s="1">
        <f t="shared" ca="1" si="58"/>
        <v>74</v>
      </c>
      <c r="Y149" s="103">
        <v>724.77</v>
      </c>
      <c r="Z149" s="113">
        <f ca="1">ROUND(IF(ISNUMBER(R149),R149,IF(LEFT(R149,3)="BDI",HLOOKUP(R149,DADOS!$T$37:$X$38,2,FALSE),0)),15-11*$X$5)</f>
        <v>0.21390000000000001</v>
      </c>
      <c r="AA149" s="1"/>
    </row>
    <row r="150" spans="1:27" ht="25.5" x14ac:dyDescent="0.2">
      <c r="A150" t="str">
        <f t="shared" si="41"/>
        <v>S</v>
      </c>
      <c r="B150">
        <f t="shared" si="42"/>
        <v>0</v>
      </c>
      <c r="C150">
        <f t="shared" ca="1" si="43"/>
        <v>1</v>
      </c>
      <c r="D150">
        <f t="shared" ca="1" si="44"/>
        <v>8</v>
      </c>
      <c r="E150">
        <f t="shared" ca="1" si="45"/>
        <v>0</v>
      </c>
      <c r="F150">
        <f t="shared" ca="1" si="46"/>
        <v>0</v>
      </c>
      <c r="G150">
        <f t="shared" ca="1" si="47"/>
        <v>38</v>
      </c>
      <c r="H150">
        <f t="shared" ca="1" si="54"/>
        <v>0</v>
      </c>
      <c r="I150">
        <f t="shared" ca="1" si="55"/>
        <v>0</v>
      </c>
      <c r="J150" s="353" t="s">
        <v>103</v>
      </c>
      <c r="K150" s="138" t="str">
        <f t="shared" ca="1" si="48"/>
        <v>1.8.0.0.38.</v>
      </c>
      <c r="L150" s="355" t="s">
        <v>237</v>
      </c>
      <c r="M150" s="355" t="s">
        <v>414</v>
      </c>
      <c r="N150" s="357" t="s">
        <v>555</v>
      </c>
      <c r="O150" s="358" t="s">
        <v>635</v>
      </c>
      <c r="P150" s="360">
        <v>3</v>
      </c>
      <c r="Q150" s="195"/>
      <c r="R150" s="198" t="s">
        <v>7</v>
      </c>
      <c r="S150" s="103">
        <f t="shared" si="56"/>
        <v>0</v>
      </c>
      <c r="T150" s="83">
        <f t="shared" si="57"/>
        <v>0</v>
      </c>
      <c r="U150" s="9" t="str">
        <f t="shared" si="51"/>
        <v>SEM VALOR</v>
      </c>
      <c r="V150" s="1" t="str">
        <f ca="1">IF(OR($A150=0,$A150="S",$A150&gt;CFF!$A$9),"",MAX(V$12:OFFSET(V150,-1,0))+1)</f>
        <v/>
      </c>
      <c r="W150" s="4" t="str">
        <f t="shared" si="52"/>
        <v>PM BENTO-147</v>
      </c>
      <c r="X150" s="1">
        <f t="shared" ca="1" si="58"/>
        <v>75</v>
      </c>
      <c r="Y150" s="103">
        <v>1053.58</v>
      </c>
      <c r="Z150" s="113">
        <f ca="1">ROUND(IF(ISNUMBER(R150),R150,IF(LEFT(R150,3)="BDI",HLOOKUP(R150,DADOS!$T$37:$X$38,2,FALSE),0)),15-11*$X$5)</f>
        <v>0.21390000000000001</v>
      </c>
      <c r="AA150" s="1"/>
    </row>
    <row r="151" spans="1:27" ht="25.5" x14ac:dyDescent="0.2">
      <c r="A151" t="str">
        <f t="shared" si="41"/>
        <v>S</v>
      </c>
      <c r="B151">
        <f t="shared" si="42"/>
        <v>0</v>
      </c>
      <c r="C151">
        <f t="shared" ca="1" si="43"/>
        <v>1</v>
      </c>
      <c r="D151">
        <f t="shared" ca="1" si="44"/>
        <v>8</v>
      </c>
      <c r="E151">
        <f t="shared" ca="1" si="45"/>
        <v>0</v>
      </c>
      <c r="F151">
        <f t="shared" ca="1" si="46"/>
        <v>0</v>
      </c>
      <c r="G151">
        <f t="shared" ca="1" si="47"/>
        <v>39</v>
      </c>
      <c r="H151">
        <f t="shared" ca="1" si="54"/>
        <v>0</v>
      </c>
      <c r="I151">
        <f t="shared" ca="1" si="55"/>
        <v>0</v>
      </c>
      <c r="J151" s="353" t="s">
        <v>103</v>
      </c>
      <c r="K151" s="138" t="str">
        <f t="shared" ca="1" si="48"/>
        <v>1.8.0.0.39.</v>
      </c>
      <c r="L151" s="355" t="s">
        <v>237</v>
      </c>
      <c r="M151" s="355" t="s">
        <v>415</v>
      </c>
      <c r="N151" s="357" t="s">
        <v>556</v>
      </c>
      <c r="O151" s="358" t="s">
        <v>638</v>
      </c>
      <c r="P151" s="360">
        <v>1</v>
      </c>
      <c r="Q151" s="195"/>
      <c r="R151" s="198" t="s">
        <v>7</v>
      </c>
      <c r="S151" s="103">
        <f t="shared" si="56"/>
        <v>0</v>
      </c>
      <c r="T151" s="83">
        <f t="shared" si="57"/>
        <v>0</v>
      </c>
      <c r="U151" s="9" t="str">
        <f t="shared" si="51"/>
        <v>SEM VALOR</v>
      </c>
      <c r="V151" s="1" t="str">
        <f ca="1">IF(OR($A151=0,$A151="S",$A151&gt;CFF!$A$9),"",MAX(V$12:OFFSET(V151,-1,0))+1)</f>
        <v/>
      </c>
      <c r="W151" s="4" t="str">
        <f t="shared" si="52"/>
        <v>PM BENTO-148</v>
      </c>
      <c r="X151" s="1">
        <f t="shared" ca="1" si="58"/>
        <v>76</v>
      </c>
      <c r="Y151" s="103">
        <v>1265.02</v>
      </c>
      <c r="Z151" s="113">
        <f ca="1">ROUND(IF(ISNUMBER(R151),R151,IF(LEFT(R151,3)="BDI",HLOOKUP(R151,DADOS!$T$37:$X$38,2,FALSE),0)),15-11*$X$5)</f>
        <v>0.21390000000000001</v>
      </c>
      <c r="AA151" s="1"/>
    </row>
    <row r="152" spans="1:27" x14ac:dyDescent="0.2">
      <c r="A152" t="str">
        <f t="shared" si="41"/>
        <v>S</v>
      </c>
      <c r="B152">
        <f t="shared" si="42"/>
        <v>0</v>
      </c>
      <c r="C152">
        <f t="shared" ca="1" si="43"/>
        <v>1</v>
      </c>
      <c r="D152">
        <f t="shared" ca="1" si="44"/>
        <v>8</v>
      </c>
      <c r="E152">
        <f t="shared" ca="1" si="45"/>
        <v>0</v>
      </c>
      <c r="F152">
        <f t="shared" ca="1" si="46"/>
        <v>0</v>
      </c>
      <c r="G152">
        <f t="shared" ca="1" si="47"/>
        <v>40</v>
      </c>
      <c r="H152">
        <f t="shared" ca="1" si="54"/>
        <v>0</v>
      </c>
      <c r="I152">
        <f t="shared" ca="1" si="55"/>
        <v>0</v>
      </c>
      <c r="J152" s="353" t="s">
        <v>103</v>
      </c>
      <c r="K152" s="138" t="str">
        <f t="shared" ca="1" si="48"/>
        <v>1.8.0.0.40.</v>
      </c>
      <c r="L152" s="355" t="s">
        <v>231</v>
      </c>
      <c r="M152" s="355" t="s">
        <v>389</v>
      </c>
      <c r="N152" s="357" t="s">
        <v>557</v>
      </c>
      <c r="O152" s="358" t="s">
        <v>629</v>
      </c>
      <c r="P152" s="360">
        <v>14</v>
      </c>
      <c r="Q152" s="195"/>
      <c r="R152" s="198" t="s">
        <v>7</v>
      </c>
      <c r="S152" s="103">
        <f t="shared" si="56"/>
        <v>0</v>
      </c>
      <c r="T152" s="83">
        <f t="shared" si="57"/>
        <v>0</v>
      </c>
      <c r="U152" s="9" t="str">
        <f t="shared" si="51"/>
        <v>SEM VALOR</v>
      </c>
      <c r="V152" s="1" t="str">
        <f ca="1">IF(OR($A152=0,$A152="S",$A152&gt;CFF!$A$9),"",MAX(V$12:OFFSET(V152,-1,0))+1)</f>
        <v/>
      </c>
      <c r="W152" s="4" t="str">
        <f t="shared" si="52"/>
        <v>SINAPI-93654</v>
      </c>
      <c r="X152" s="1">
        <f t="shared" ca="1" si="58"/>
        <v>9592</v>
      </c>
      <c r="Y152" s="103">
        <v>14.38</v>
      </c>
      <c r="Z152" s="113">
        <f ca="1">ROUND(IF(ISNUMBER(R152),R152,IF(LEFT(R152,3)="BDI",HLOOKUP(R152,DADOS!$T$37:$X$38,2,FALSE),0)),15-11*$X$5)</f>
        <v>0.21390000000000001</v>
      </c>
      <c r="AA152" s="1"/>
    </row>
    <row r="153" spans="1:27" x14ac:dyDescent="0.2">
      <c r="A153" t="str">
        <f t="shared" si="41"/>
        <v>S</v>
      </c>
      <c r="B153">
        <f t="shared" si="42"/>
        <v>0</v>
      </c>
      <c r="C153">
        <f t="shared" ca="1" si="43"/>
        <v>1</v>
      </c>
      <c r="D153">
        <f t="shared" ca="1" si="44"/>
        <v>8</v>
      </c>
      <c r="E153">
        <f t="shared" ca="1" si="45"/>
        <v>0</v>
      </c>
      <c r="F153">
        <f t="shared" ca="1" si="46"/>
        <v>0</v>
      </c>
      <c r="G153">
        <f t="shared" ca="1" si="47"/>
        <v>41</v>
      </c>
      <c r="H153">
        <f t="shared" ca="1" si="54"/>
        <v>0</v>
      </c>
      <c r="I153">
        <f t="shared" ca="1" si="55"/>
        <v>0</v>
      </c>
      <c r="J153" s="353" t="s">
        <v>103</v>
      </c>
      <c r="K153" s="138" t="str">
        <f t="shared" ca="1" si="48"/>
        <v>1.8.0.0.41.</v>
      </c>
      <c r="L153" s="355" t="s">
        <v>231</v>
      </c>
      <c r="M153" s="355" t="s">
        <v>390</v>
      </c>
      <c r="N153" s="357" t="s">
        <v>558</v>
      </c>
      <c r="O153" s="358" t="s">
        <v>629</v>
      </c>
      <c r="P153" s="360">
        <v>41</v>
      </c>
      <c r="Q153" s="195"/>
      <c r="R153" s="198" t="s">
        <v>7</v>
      </c>
      <c r="S153" s="103">
        <f t="shared" si="56"/>
        <v>0</v>
      </c>
      <c r="T153" s="83">
        <f t="shared" si="57"/>
        <v>0</v>
      </c>
      <c r="U153" s="9" t="str">
        <f t="shared" si="51"/>
        <v>SEM VALOR</v>
      </c>
      <c r="V153" s="1" t="str">
        <f ca="1">IF(OR($A153=0,$A153="S",$A153&gt;CFF!$A$9),"",MAX(V$12:OFFSET(V153,-1,0))+1)</f>
        <v/>
      </c>
      <c r="W153" s="4" t="str">
        <f t="shared" si="52"/>
        <v>SINAPI-93655</v>
      </c>
      <c r="X153" s="1">
        <f t="shared" ca="1" si="58"/>
        <v>9593</v>
      </c>
      <c r="Y153" s="103">
        <v>16.079999999999998</v>
      </c>
      <c r="Z153" s="113">
        <f ca="1">ROUND(IF(ISNUMBER(R153),R153,IF(LEFT(R153,3)="BDI",HLOOKUP(R153,DADOS!$T$37:$X$38,2,FALSE),0)),15-11*$X$5)</f>
        <v>0.21390000000000001</v>
      </c>
      <c r="AA153" s="1"/>
    </row>
    <row r="154" spans="1:27" x14ac:dyDescent="0.2">
      <c r="A154" t="str">
        <f t="shared" si="41"/>
        <v>S</v>
      </c>
      <c r="B154">
        <f t="shared" si="42"/>
        <v>0</v>
      </c>
      <c r="C154">
        <f t="shared" ca="1" si="43"/>
        <v>1</v>
      </c>
      <c r="D154">
        <f t="shared" ca="1" si="44"/>
        <v>8</v>
      </c>
      <c r="E154">
        <f t="shared" ca="1" si="45"/>
        <v>0</v>
      </c>
      <c r="F154">
        <f t="shared" ca="1" si="46"/>
        <v>0</v>
      </c>
      <c r="G154">
        <f t="shared" ca="1" si="47"/>
        <v>42</v>
      </c>
      <c r="H154">
        <f t="shared" ca="1" si="54"/>
        <v>0</v>
      </c>
      <c r="I154">
        <f t="shared" ca="1" si="55"/>
        <v>0</v>
      </c>
      <c r="J154" s="353" t="s">
        <v>103</v>
      </c>
      <c r="K154" s="138" t="str">
        <f t="shared" ca="1" si="48"/>
        <v>1.8.0.0.42.</v>
      </c>
      <c r="L154" s="355" t="s">
        <v>231</v>
      </c>
      <c r="M154" s="355" t="s">
        <v>391</v>
      </c>
      <c r="N154" s="357" t="s">
        <v>559</v>
      </c>
      <c r="O154" s="358" t="s">
        <v>629</v>
      </c>
      <c r="P154" s="360">
        <v>1</v>
      </c>
      <c r="Q154" s="195"/>
      <c r="R154" s="198" t="s">
        <v>7</v>
      </c>
      <c r="S154" s="103">
        <f t="shared" si="56"/>
        <v>0</v>
      </c>
      <c r="T154" s="83">
        <f t="shared" si="57"/>
        <v>0</v>
      </c>
      <c r="U154" s="9" t="str">
        <f t="shared" si="51"/>
        <v>SEM VALOR</v>
      </c>
      <c r="V154" s="1" t="str">
        <f ca="1">IF(OR($A154=0,$A154="S",$A154&gt;CFF!$A$9),"",MAX(V$12:OFFSET(V154,-1,0))+1)</f>
        <v/>
      </c>
      <c r="W154" s="4" t="str">
        <f t="shared" si="52"/>
        <v>SINAPI-93657</v>
      </c>
      <c r="X154" s="1">
        <f t="shared" ca="1" si="58"/>
        <v>9595</v>
      </c>
      <c r="Y154" s="103">
        <v>18.11</v>
      </c>
      <c r="Z154" s="113">
        <f ca="1">ROUND(IF(ISNUMBER(R154),R154,IF(LEFT(R154,3)="BDI",HLOOKUP(R154,DADOS!$T$37:$X$38,2,FALSE),0)),15-11*$X$5)</f>
        <v>0.21390000000000001</v>
      </c>
      <c r="AA154" s="1"/>
    </row>
    <row r="155" spans="1:27" x14ac:dyDescent="0.2">
      <c r="A155" t="str">
        <f t="shared" si="41"/>
        <v>S</v>
      </c>
      <c r="B155">
        <f t="shared" si="42"/>
        <v>0</v>
      </c>
      <c r="C155">
        <f t="shared" ca="1" si="43"/>
        <v>1</v>
      </c>
      <c r="D155">
        <f t="shared" ca="1" si="44"/>
        <v>8</v>
      </c>
      <c r="E155">
        <f t="shared" ca="1" si="45"/>
        <v>0</v>
      </c>
      <c r="F155">
        <f t="shared" ca="1" si="46"/>
        <v>0</v>
      </c>
      <c r="G155">
        <f t="shared" ca="1" si="47"/>
        <v>43</v>
      </c>
      <c r="H155">
        <f t="shared" ca="1" si="54"/>
        <v>0</v>
      </c>
      <c r="I155">
        <f t="shared" ca="1" si="55"/>
        <v>0</v>
      </c>
      <c r="J155" s="353" t="s">
        <v>103</v>
      </c>
      <c r="K155" s="138" t="str">
        <f t="shared" ca="1" si="48"/>
        <v>1.8.0.0.43.</v>
      </c>
      <c r="L155" s="355" t="s">
        <v>231</v>
      </c>
      <c r="M155" s="355" t="s">
        <v>392</v>
      </c>
      <c r="N155" s="357" t="s">
        <v>560</v>
      </c>
      <c r="O155" s="358" t="s">
        <v>629</v>
      </c>
      <c r="P155" s="360">
        <v>3</v>
      </c>
      <c r="Q155" s="195"/>
      <c r="R155" s="198" t="s">
        <v>7</v>
      </c>
      <c r="S155" s="103">
        <f t="shared" si="56"/>
        <v>0</v>
      </c>
      <c r="T155" s="83">
        <f t="shared" si="57"/>
        <v>0</v>
      </c>
      <c r="U155" s="9" t="str">
        <f t="shared" si="51"/>
        <v>SEM VALOR</v>
      </c>
      <c r="V155" s="1" t="str">
        <f ca="1">IF(OR($A155=0,$A155="S",$A155&gt;CFF!$A$9),"",MAX(V$12:OFFSET(V155,-1,0))+1)</f>
        <v/>
      </c>
      <c r="W155" s="4" t="str">
        <f t="shared" si="52"/>
        <v>SINAPI-93659</v>
      </c>
      <c r="X155" s="1">
        <f t="shared" ca="1" si="58"/>
        <v>9597</v>
      </c>
      <c r="Y155" s="103">
        <v>30.02</v>
      </c>
      <c r="Z155" s="113">
        <f ca="1">ROUND(IF(ISNUMBER(R155),R155,IF(LEFT(R155,3)="BDI",HLOOKUP(R155,DADOS!$T$37:$X$38,2,FALSE),0)),15-11*$X$5)</f>
        <v>0.21390000000000001</v>
      </c>
      <c r="AA155" s="1"/>
    </row>
    <row r="156" spans="1:27" x14ac:dyDescent="0.2">
      <c r="A156" t="str">
        <f t="shared" si="41"/>
        <v>S</v>
      </c>
      <c r="B156">
        <f t="shared" si="42"/>
        <v>0</v>
      </c>
      <c r="C156">
        <f t="shared" ca="1" si="43"/>
        <v>1</v>
      </c>
      <c r="D156">
        <f t="shared" ca="1" si="44"/>
        <v>8</v>
      </c>
      <c r="E156">
        <f t="shared" ca="1" si="45"/>
        <v>0</v>
      </c>
      <c r="F156">
        <f t="shared" ca="1" si="46"/>
        <v>0</v>
      </c>
      <c r="G156">
        <f t="shared" ca="1" si="47"/>
        <v>44</v>
      </c>
      <c r="H156">
        <f t="shared" ca="1" si="54"/>
        <v>0</v>
      </c>
      <c r="I156">
        <f t="shared" ca="1" si="55"/>
        <v>0</v>
      </c>
      <c r="J156" s="353" t="s">
        <v>103</v>
      </c>
      <c r="K156" s="138" t="str">
        <f t="shared" ca="1" si="48"/>
        <v>1.8.0.0.44.</v>
      </c>
      <c r="L156" s="355" t="s">
        <v>236</v>
      </c>
      <c r="M156" s="355" t="s">
        <v>393</v>
      </c>
      <c r="N156" s="357" t="s">
        <v>561</v>
      </c>
      <c r="O156" s="358" t="s">
        <v>629</v>
      </c>
      <c r="P156" s="360">
        <v>3</v>
      </c>
      <c r="Q156" s="195"/>
      <c r="R156" s="198" t="s">
        <v>7</v>
      </c>
      <c r="S156" s="103">
        <f t="shared" si="56"/>
        <v>0</v>
      </c>
      <c r="T156" s="83">
        <f t="shared" si="57"/>
        <v>0</v>
      </c>
      <c r="U156" s="9" t="str">
        <f t="shared" si="51"/>
        <v>SEM VALOR</v>
      </c>
      <c r="V156" s="1" t="str">
        <f ca="1">IF(OR($A156=0,$A156="S",$A156&gt;CFF!$A$9),"",MAX(V$12:OFFSET(V156,-1,0))+1)</f>
        <v/>
      </c>
      <c r="W156" s="4" t="str">
        <f t="shared" si="52"/>
        <v>SINAPI-I-34688</v>
      </c>
      <c r="X156" s="1">
        <f t="shared" ca="1" si="58"/>
        <v>1799</v>
      </c>
      <c r="Y156" s="103">
        <v>17.670000000000002</v>
      </c>
      <c r="Z156" s="113">
        <f ca="1">ROUND(IF(ISNUMBER(R156),R156,IF(LEFT(R156,3)="BDI",HLOOKUP(R156,DADOS!$T$37:$X$38,2,FALSE),0)),15-11*$X$5)</f>
        <v>0.21390000000000001</v>
      </c>
      <c r="AA156" s="1"/>
    </row>
    <row r="157" spans="1:27" x14ac:dyDescent="0.2">
      <c r="A157" t="str">
        <f t="shared" si="41"/>
        <v>S</v>
      </c>
      <c r="B157">
        <f t="shared" si="42"/>
        <v>0</v>
      </c>
      <c r="C157">
        <f t="shared" ca="1" si="43"/>
        <v>1</v>
      </c>
      <c r="D157">
        <f t="shared" ca="1" si="44"/>
        <v>8</v>
      </c>
      <c r="E157">
        <f t="shared" ca="1" si="45"/>
        <v>0</v>
      </c>
      <c r="F157">
        <f t="shared" ca="1" si="46"/>
        <v>0</v>
      </c>
      <c r="G157">
        <f t="shared" ca="1" si="47"/>
        <v>45</v>
      </c>
      <c r="H157">
        <f t="shared" ca="1" si="54"/>
        <v>0</v>
      </c>
      <c r="I157">
        <f t="shared" ca="1" si="55"/>
        <v>0</v>
      </c>
      <c r="J157" s="353" t="s">
        <v>103</v>
      </c>
      <c r="K157" s="138" t="str">
        <f t="shared" ca="1" si="48"/>
        <v>1.8.0.0.45.</v>
      </c>
      <c r="L157" s="355" t="s">
        <v>231</v>
      </c>
      <c r="M157" s="355" t="s">
        <v>394</v>
      </c>
      <c r="N157" s="357" t="s">
        <v>562</v>
      </c>
      <c r="O157" s="358" t="s">
        <v>629</v>
      </c>
      <c r="P157" s="360">
        <v>2</v>
      </c>
      <c r="Q157" s="195"/>
      <c r="R157" s="198" t="s">
        <v>7</v>
      </c>
      <c r="S157" s="103">
        <f t="shared" si="56"/>
        <v>0</v>
      </c>
      <c r="T157" s="83">
        <f t="shared" si="57"/>
        <v>0</v>
      </c>
      <c r="U157" s="9" t="str">
        <f t="shared" si="51"/>
        <v>SEM VALOR</v>
      </c>
      <c r="V157" s="1" t="str">
        <f ca="1">IF(OR($A157=0,$A157="S",$A157&gt;CFF!$A$9),"",MAX(V$12:OFFSET(V157,-1,0))+1)</f>
        <v/>
      </c>
      <c r="W157" s="4" t="str">
        <f t="shared" si="52"/>
        <v>SINAPI-93671</v>
      </c>
      <c r="X157" s="1">
        <f t="shared" ca="1" si="58"/>
        <v>9611</v>
      </c>
      <c r="Y157" s="103">
        <v>93.64</v>
      </c>
      <c r="Z157" s="113">
        <f ca="1">ROUND(IF(ISNUMBER(R157),R157,IF(LEFT(R157,3)="BDI",HLOOKUP(R157,DADOS!$T$37:$X$38,2,FALSE),0)),15-11*$X$5)</f>
        <v>0.21390000000000001</v>
      </c>
      <c r="AA157" s="1"/>
    </row>
    <row r="158" spans="1:27" x14ac:dyDescent="0.2">
      <c r="A158" t="str">
        <f t="shared" si="41"/>
        <v>S</v>
      </c>
      <c r="B158">
        <f t="shared" si="42"/>
        <v>0</v>
      </c>
      <c r="C158">
        <f t="shared" ca="1" si="43"/>
        <v>1</v>
      </c>
      <c r="D158">
        <f t="shared" ca="1" si="44"/>
        <v>8</v>
      </c>
      <c r="E158">
        <f t="shared" ca="1" si="45"/>
        <v>0</v>
      </c>
      <c r="F158">
        <f t="shared" ca="1" si="46"/>
        <v>0</v>
      </c>
      <c r="G158">
        <f t="shared" ca="1" si="47"/>
        <v>46</v>
      </c>
      <c r="H158">
        <f t="shared" ca="1" si="54"/>
        <v>0</v>
      </c>
      <c r="I158">
        <f t="shared" ca="1" si="55"/>
        <v>0</v>
      </c>
      <c r="J158" s="353" t="s">
        <v>103</v>
      </c>
      <c r="K158" s="138" t="str">
        <f t="shared" ca="1" si="48"/>
        <v>1.8.0.0.46.</v>
      </c>
      <c r="L158" s="355" t="s">
        <v>231</v>
      </c>
      <c r="M158" s="355" t="s">
        <v>395</v>
      </c>
      <c r="N158" s="357" t="s">
        <v>563</v>
      </c>
      <c r="O158" s="358" t="s">
        <v>629</v>
      </c>
      <c r="P158" s="360">
        <v>2</v>
      </c>
      <c r="Q158" s="195"/>
      <c r="R158" s="198" t="s">
        <v>7</v>
      </c>
      <c r="S158" s="103">
        <f t="shared" si="56"/>
        <v>0</v>
      </c>
      <c r="T158" s="83">
        <f t="shared" si="57"/>
        <v>0</v>
      </c>
      <c r="U158" s="9" t="str">
        <f t="shared" si="51"/>
        <v>SEM VALOR</v>
      </c>
      <c r="V158" s="1" t="str">
        <f ca="1">IF(OR($A158=0,$A158="S",$A158&gt;CFF!$A$9),"",MAX(V$12:OFFSET(V158,-1,0))+1)</f>
        <v/>
      </c>
      <c r="W158" s="4" t="str">
        <f t="shared" si="52"/>
        <v>SINAPI-93672</v>
      </c>
      <c r="X158" s="1">
        <f t="shared" ca="1" si="58"/>
        <v>9612</v>
      </c>
      <c r="Y158" s="103">
        <v>103.02</v>
      </c>
      <c r="Z158" s="113">
        <f ca="1">ROUND(IF(ISNUMBER(R158),R158,IF(LEFT(R158,3)="BDI",HLOOKUP(R158,DADOS!$T$37:$X$38,2,FALSE),0)),15-11*$X$5)</f>
        <v>0.21390000000000001</v>
      </c>
      <c r="AA158" s="1"/>
    </row>
    <row r="159" spans="1:27" ht="25.5" x14ac:dyDescent="0.2">
      <c r="A159" t="str">
        <f t="shared" si="41"/>
        <v>S</v>
      </c>
      <c r="B159">
        <f t="shared" si="42"/>
        <v>0</v>
      </c>
      <c r="C159">
        <f t="shared" ca="1" si="43"/>
        <v>1</v>
      </c>
      <c r="D159">
        <f t="shared" ca="1" si="44"/>
        <v>8</v>
      </c>
      <c r="E159">
        <f t="shared" ca="1" si="45"/>
        <v>0</v>
      </c>
      <c r="F159">
        <f t="shared" ca="1" si="46"/>
        <v>0</v>
      </c>
      <c r="G159">
        <f t="shared" ca="1" si="47"/>
        <v>47</v>
      </c>
      <c r="H159">
        <f t="shared" ca="1" si="54"/>
        <v>0</v>
      </c>
      <c r="I159">
        <f t="shared" ca="1" si="55"/>
        <v>0</v>
      </c>
      <c r="J159" s="353" t="s">
        <v>103</v>
      </c>
      <c r="K159" s="138" t="str">
        <f t="shared" ca="1" si="48"/>
        <v>1.8.0.0.47.</v>
      </c>
      <c r="L159" s="355" t="s">
        <v>231</v>
      </c>
      <c r="M159" s="355" t="s">
        <v>396</v>
      </c>
      <c r="N159" s="357" t="s">
        <v>564</v>
      </c>
      <c r="O159" s="358" t="s">
        <v>629</v>
      </c>
      <c r="P159" s="360">
        <v>1</v>
      </c>
      <c r="Q159" s="195"/>
      <c r="R159" s="198" t="s">
        <v>7</v>
      </c>
      <c r="S159" s="103">
        <f t="shared" si="56"/>
        <v>0</v>
      </c>
      <c r="T159" s="83">
        <f t="shared" si="57"/>
        <v>0</v>
      </c>
      <c r="U159" s="9" t="str">
        <f t="shared" si="51"/>
        <v>SEM VALOR</v>
      </c>
      <c r="V159" s="1" t="str">
        <f ca="1">IF(OR($A159=0,$A159="S",$A159&gt;CFF!$A$9),"",MAX(V$12:OFFSET(V159,-1,0))+1)</f>
        <v/>
      </c>
      <c r="W159" s="4" t="str">
        <f t="shared" si="52"/>
        <v>SINAPI-101894</v>
      </c>
      <c r="X159" s="1">
        <f t="shared" ca="1" si="58"/>
        <v>9615</v>
      </c>
      <c r="Y159" s="103">
        <v>183.97</v>
      </c>
      <c r="Z159" s="113">
        <f ca="1">ROUND(IF(ISNUMBER(R159),R159,IF(LEFT(R159,3)="BDI",HLOOKUP(R159,DADOS!$T$37:$X$38,2,FALSE),0)),15-11*$X$5)</f>
        <v>0.21390000000000001</v>
      </c>
      <c r="AA159" s="1"/>
    </row>
    <row r="160" spans="1:27" ht="25.5" x14ac:dyDescent="0.2">
      <c r="A160" t="str">
        <f t="shared" si="41"/>
        <v>S</v>
      </c>
      <c r="B160">
        <f t="shared" si="42"/>
        <v>0</v>
      </c>
      <c r="C160">
        <f t="shared" ca="1" si="43"/>
        <v>1</v>
      </c>
      <c r="D160">
        <f t="shared" ca="1" si="44"/>
        <v>8</v>
      </c>
      <c r="E160">
        <f t="shared" ca="1" si="45"/>
        <v>0</v>
      </c>
      <c r="F160">
        <f t="shared" ca="1" si="46"/>
        <v>0</v>
      </c>
      <c r="G160">
        <f t="shared" ca="1" si="47"/>
        <v>48</v>
      </c>
      <c r="H160">
        <f t="shared" ca="1" si="54"/>
        <v>0</v>
      </c>
      <c r="I160">
        <f t="shared" ca="1" si="55"/>
        <v>0</v>
      </c>
      <c r="J160" s="353" t="s">
        <v>103</v>
      </c>
      <c r="K160" s="138" t="str">
        <f t="shared" ca="1" si="48"/>
        <v>1.8.0.0.48.</v>
      </c>
      <c r="L160" s="355" t="s">
        <v>237</v>
      </c>
      <c r="M160" s="355" t="s">
        <v>416</v>
      </c>
      <c r="N160" s="357" t="s">
        <v>565</v>
      </c>
      <c r="O160" s="358" t="s">
        <v>638</v>
      </c>
      <c r="P160" s="360">
        <v>18</v>
      </c>
      <c r="Q160" s="195"/>
      <c r="R160" s="198" t="s">
        <v>7</v>
      </c>
      <c r="S160" s="103">
        <f t="shared" si="56"/>
        <v>0</v>
      </c>
      <c r="T160" s="83">
        <f t="shared" si="57"/>
        <v>0</v>
      </c>
      <c r="U160" s="9" t="str">
        <f t="shared" si="51"/>
        <v>SEM VALOR</v>
      </c>
      <c r="V160" s="1" t="str">
        <f ca="1">IF(OR($A160=0,$A160="S",$A160&gt;CFF!$A$9),"",MAX(V$12:OFFSET(V160,-1,0))+1)</f>
        <v/>
      </c>
      <c r="W160" s="4" t="str">
        <f t="shared" si="52"/>
        <v>PM BENTO-149</v>
      </c>
      <c r="X160" s="1">
        <f t="shared" ca="1" si="58"/>
        <v>77</v>
      </c>
      <c r="Y160" s="103">
        <v>115.96</v>
      </c>
      <c r="Z160" s="113">
        <f ca="1">ROUND(IF(ISNUMBER(R160),R160,IF(LEFT(R160,3)="BDI",HLOOKUP(R160,DADOS!$T$37:$X$38,2,FALSE),0)),15-11*$X$5)</f>
        <v>0.21390000000000001</v>
      </c>
      <c r="AA160" s="1"/>
    </row>
    <row r="161" spans="1:27" x14ac:dyDescent="0.2">
      <c r="A161" t="str">
        <f t="shared" si="41"/>
        <v>S</v>
      </c>
      <c r="B161">
        <f t="shared" si="42"/>
        <v>0</v>
      </c>
      <c r="C161">
        <f t="shared" ca="1" si="43"/>
        <v>1</v>
      </c>
      <c r="D161">
        <f t="shared" ca="1" si="44"/>
        <v>8</v>
      </c>
      <c r="E161">
        <f t="shared" ca="1" si="45"/>
        <v>0</v>
      </c>
      <c r="F161">
        <f t="shared" ca="1" si="46"/>
        <v>0</v>
      </c>
      <c r="G161">
        <f t="shared" ca="1" si="47"/>
        <v>49</v>
      </c>
      <c r="H161">
        <f t="shared" ca="1" si="54"/>
        <v>0</v>
      </c>
      <c r="I161">
        <f t="shared" ca="1" si="55"/>
        <v>0</v>
      </c>
      <c r="J161" s="353" t="s">
        <v>103</v>
      </c>
      <c r="K161" s="138" t="str">
        <f t="shared" ca="1" si="48"/>
        <v>1.8.0.0.49.</v>
      </c>
      <c r="L161" s="355" t="s">
        <v>356</v>
      </c>
      <c r="M161" s="355" t="s">
        <v>417</v>
      </c>
      <c r="N161" s="357" t="s">
        <v>566</v>
      </c>
      <c r="O161" s="358" t="s">
        <v>639</v>
      </c>
      <c r="P161" s="360">
        <v>30</v>
      </c>
      <c r="Q161" s="195"/>
      <c r="R161" s="198" t="s">
        <v>7</v>
      </c>
      <c r="S161" s="103">
        <f t="shared" si="56"/>
        <v>0</v>
      </c>
      <c r="T161" s="83">
        <f t="shared" si="57"/>
        <v>0</v>
      </c>
      <c r="U161" s="9" t="str">
        <f t="shared" si="51"/>
        <v>SEM VALOR</v>
      </c>
      <c r="V161" s="1" t="str">
        <f ca="1">IF(OR($A161=0,$A161="S",$A161&gt;CFF!$A$9),"",MAX(V$12:OFFSET(V161,-1,0))+1)</f>
        <v/>
      </c>
      <c r="W161" s="4" t="str">
        <f t="shared" si="52"/>
        <v xml:space="preserve"> PM BENTO-150</v>
      </c>
      <c r="X161" s="1">
        <f t="shared" ca="1" si="58"/>
        <v>78</v>
      </c>
      <c r="Y161" s="103">
        <v>155.69</v>
      </c>
      <c r="Z161" s="113">
        <f ca="1">ROUND(IF(ISNUMBER(R161),R161,IF(LEFT(R161,3)="BDI",HLOOKUP(R161,DADOS!$T$37:$X$38,2,FALSE),0)),15-11*$X$5)</f>
        <v>0.21390000000000001</v>
      </c>
      <c r="AA161" s="1"/>
    </row>
    <row r="162" spans="1:27" x14ac:dyDescent="0.2">
      <c r="A162" t="str">
        <f t="shared" si="41"/>
        <v>S</v>
      </c>
      <c r="B162">
        <f t="shared" si="42"/>
        <v>0</v>
      </c>
      <c r="C162">
        <f t="shared" ca="1" si="43"/>
        <v>1</v>
      </c>
      <c r="D162">
        <f t="shared" ca="1" si="44"/>
        <v>8</v>
      </c>
      <c r="E162">
        <f t="shared" ca="1" si="45"/>
        <v>0</v>
      </c>
      <c r="F162">
        <f t="shared" ca="1" si="46"/>
        <v>0</v>
      </c>
      <c r="G162">
        <f t="shared" ca="1" si="47"/>
        <v>50</v>
      </c>
      <c r="H162">
        <f t="shared" ca="1" si="54"/>
        <v>0</v>
      </c>
      <c r="I162">
        <f t="shared" ca="1" si="55"/>
        <v>0</v>
      </c>
      <c r="J162" s="353" t="s">
        <v>103</v>
      </c>
      <c r="K162" s="138" t="str">
        <f t="shared" ca="1" si="48"/>
        <v>1.8.0.0.50.</v>
      </c>
      <c r="L162" s="355" t="s">
        <v>237</v>
      </c>
      <c r="M162" s="355" t="s">
        <v>418</v>
      </c>
      <c r="N162" s="357" t="s">
        <v>567</v>
      </c>
      <c r="O162" s="358" t="s">
        <v>639</v>
      </c>
      <c r="P162" s="360">
        <v>1</v>
      </c>
      <c r="Q162" s="195"/>
      <c r="R162" s="198" t="s">
        <v>7</v>
      </c>
      <c r="S162" s="103">
        <f t="shared" si="56"/>
        <v>0</v>
      </c>
      <c r="T162" s="83">
        <f t="shared" si="57"/>
        <v>0</v>
      </c>
      <c r="U162" s="9" t="str">
        <f t="shared" si="51"/>
        <v>SEM VALOR</v>
      </c>
      <c r="V162" s="1" t="str">
        <f ca="1">IF(OR($A162=0,$A162="S",$A162&gt;CFF!$A$9),"",MAX(V$12:OFFSET(V162,-1,0))+1)</f>
        <v/>
      </c>
      <c r="W162" s="4" t="str">
        <f t="shared" si="52"/>
        <v>PM BENTO-151</v>
      </c>
      <c r="X162" s="1">
        <f t="shared" ca="1" si="58"/>
        <v>79</v>
      </c>
      <c r="Y162" s="103">
        <v>158.37</v>
      </c>
      <c r="Z162" s="113">
        <f ca="1">ROUND(IF(ISNUMBER(R162),R162,IF(LEFT(R162,3)="BDI",HLOOKUP(R162,DADOS!$T$37:$X$38,2,FALSE),0)),15-11*$X$5)</f>
        <v>0.21390000000000001</v>
      </c>
      <c r="AA162" s="1"/>
    </row>
    <row r="163" spans="1:27" x14ac:dyDescent="0.2">
      <c r="A163" t="str">
        <f t="shared" si="41"/>
        <v>S</v>
      </c>
      <c r="B163">
        <f t="shared" si="42"/>
        <v>0</v>
      </c>
      <c r="C163">
        <f t="shared" ca="1" si="43"/>
        <v>1</v>
      </c>
      <c r="D163">
        <f t="shared" ca="1" si="44"/>
        <v>8</v>
      </c>
      <c r="E163">
        <f t="shared" ca="1" si="45"/>
        <v>0</v>
      </c>
      <c r="F163">
        <f t="shared" ca="1" si="46"/>
        <v>0</v>
      </c>
      <c r="G163">
        <f t="shared" ca="1" si="47"/>
        <v>51</v>
      </c>
      <c r="H163">
        <f t="shared" ca="1" si="54"/>
        <v>0</v>
      </c>
      <c r="I163">
        <f t="shared" ca="1" si="55"/>
        <v>0</v>
      </c>
      <c r="J163" s="353" t="s">
        <v>103</v>
      </c>
      <c r="K163" s="138" t="str">
        <f t="shared" ca="1" si="48"/>
        <v>1.8.0.0.51.</v>
      </c>
      <c r="L163" s="355" t="s">
        <v>231</v>
      </c>
      <c r="M163" s="355" t="s">
        <v>397</v>
      </c>
      <c r="N163" s="357" t="s">
        <v>568</v>
      </c>
      <c r="O163" s="358" t="s">
        <v>629</v>
      </c>
      <c r="P163" s="360">
        <v>1</v>
      </c>
      <c r="Q163" s="195"/>
      <c r="R163" s="198" t="s">
        <v>7</v>
      </c>
      <c r="S163" s="103">
        <f t="shared" si="56"/>
        <v>0</v>
      </c>
      <c r="T163" s="83">
        <f t="shared" si="57"/>
        <v>0</v>
      </c>
      <c r="U163" s="9" t="str">
        <f t="shared" si="51"/>
        <v>SEM VALOR</v>
      </c>
      <c r="V163" s="1" t="str">
        <f ca="1">IF(OR($A163=0,$A163="S",$A163&gt;CFF!$A$9),"",MAX(V$12:OFFSET(V163,-1,0))+1)</f>
        <v/>
      </c>
      <c r="W163" s="4" t="str">
        <f t="shared" si="52"/>
        <v>SINAPI-96986</v>
      </c>
      <c r="X163" s="1">
        <f t="shared" ca="1" si="58"/>
        <v>13807</v>
      </c>
      <c r="Y163" s="103">
        <v>193.33</v>
      </c>
      <c r="Z163" s="113">
        <f ca="1">ROUND(IF(ISNUMBER(R163),R163,IF(LEFT(R163,3)="BDI",HLOOKUP(R163,DADOS!$T$37:$X$38,2,FALSE),0)),15-11*$X$5)</f>
        <v>0.21390000000000001</v>
      </c>
      <c r="AA163" s="1"/>
    </row>
    <row r="164" spans="1:27" ht="25.5" x14ac:dyDescent="0.2">
      <c r="A164" t="str">
        <f t="shared" si="41"/>
        <v>S</v>
      </c>
      <c r="B164">
        <f t="shared" si="42"/>
        <v>0</v>
      </c>
      <c r="C164">
        <f t="shared" ca="1" si="43"/>
        <v>1</v>
      </c>
      <c r="D164">
        <f t="shared" ca="1" si="44"/>
        <v>8</v>
      </c>
      <c r="E164">
        <f t="shared" ca="1" si="45"/>
        <v>0</v>
      </c>
      <c r="F164">
        <f t="shared" ca="1" si="46"/>
        <v>0</v>
      </c>
      <c r="G164">
        <f t="shared" ca="1" si="47"/>
        <v>52</v>
      </c>
      <c r="H164">
        <f t="shared" ca="1" si="54"/>
        <v>0</v>
      </c>
      <c r="I164">
        <f t="shared" ca="1" si="55"/>
        <v>0</v>
      </c>
      <c r="J164" s="353" t="s">
        <v>103</v>
      </c>
      <c r="K164" s="138" t="str">
        <f t="shared" ca="1" si="48"/>
        <v>1.8.0.0.52.</v>
      </c>
      <c r="L164" s="355" t="s">
        <v>236</v>
      </c>
      <c r="M164" s="355" t="s">
        <v>398</v>
      </c>
      <c r="N164" s="357" t="s">
        <v>569</v>
      </c>
      <c r="O164" s="358" t="s">
        <v>629</v>
      </c>
      <c r="P164" s="360">
        <v>1</v>
      </c>
      <c r="Q164" s="195"/>
      <c r="R164" s="198" t="s">
        <v>7</v>
      </c>
      <c r="S164" s="103">
        <f t="shared" si="56"/>
        <v>0</v>
      </c>
      <c r="T164" s="83">
        <f t="shared" si="57"/>
        <v>0</v>
      </c>
      <c r="U164" s="9" t="str">
        <f t="shared" si="51"/>
        <v>SEM VALOR</v>
      </c>
      <c r="V164" s="1" t="str">
        <f ca="1">IF(OR($A164=0,$A164="S",$A164&gt;CFF!$A$9),"",MAX(V$12:OFFSET(V164,-1,0))+1)</f>
        <v/>
      </c>
      <c r="W164" s="4" t="str">
        <f t="shared" si="52"/>
        <v>SINAPI-I-11821</v>
      </c>
      <c r="X164" s="1">
        <f t="shared" ca="1" si="58"/>
        <v>1424</v>
      </c>
      <c r="Y164" s="103">
        <v>14.82</v>
      </c>
      <c r="Z164" s="113">
        <f ca="1">ROUND(IF(ISNUMBER(R164),R164,IF(LEFT(R164,3)="BDI",HLOOKUP(R164,DADOS!$T$37:$X$38,2,FALSE),0)),15-11*$X$5)</f>
        <v>0.21390000000000001</v>
      </c>
      <c r="AA164" s="1"/>
    </row>
    <row r="165" spans="1:27" ht="25.5" x14ac:dyDescent="0.2">
      <c r="A165" t="str">
        <f t="shared" si="41"/>
        <v>S</v>
      </c>
      <c r="B165">
        <f t="shared" si="42"/>
        <v>0</v>
      </c>
      <c r="C165">
        <f t="shared" ca="1" si="43"/>
        <v>1</v>
      </c>
      <c r="D165">
        <f t="shared" ca="1" si="44"/>
        <v>8</v>
      </c>
      <c r="E165">
        <f t="shared" ca="1" si="45"/>
        <v>0</v>
      </c>
      <c r="F165">
        <f t="shared" ca="1" si="46"/>
        <v>0</v>
      </c>
      <c r="G165">
        <f t="shared" ca="1" si="47"/>
        <v>53</v>
      </c>
      <c r="H165">
        <f t="shared" ca="1" si="54"/>
        <v>0</v>
      </c>
      <c r="I165">
        <f t="shared" ca="1" si="55"/>
        <v>0</v>
      </c>
      <c r="J165" s="353" t="s">
        <v>103</v>
      </c>
      <c r="K165" s="138" t="str">
        <f t="shared" ca="1" si="48"/>
        <v>1.8.0.0.53.</v>
      </c>
      <c r="L165" s="355" t="s">
        <v>231</v>
      </c>
      <c r="M165" s="355" t="s">
        <v>399</v>
      </c>
      <c r="N165" s="357" t="s">
        <v>570</v>
      </c>
      <c r="O165" s="358" t="s">
        <v>629</v>
      </c>
      <c r="P165" s="360">
        <v>3</v>
      </c>
      <c r="Q165" s="195"/>
      <c r="R165" s="198" t="s">
        <v>7</v>
      </c>
      <c r="S165" s="103">
        <f t="shared" si="56"/>
        <v>0</v>
      </c>
      <c r="T165" s="83">
        <f t="shared" si="57"/>
        <v>0</v>
      </c>
      <c r="U165" s="9" t="str">
        <f t="shared" si="51"/>
        <v>SEM VALOR</v>
      </c>
      <c r="V165" s="1" t="str">
        <f ca="1">IF(OR($A165=0,$A165="S",$A165&gt;CFF!$A$9),"",MAX(V$12:OFFSET(V165,-1,0))+1)</f>
        <v/>
      </c>
      <c r="W165" s="4" t="str">
        <f t="shared" si="52"/>
        <v>SINAPI-104750</v>
      </c>
      <c r="X165" s="1">
        <f t="shared" ca="1" si="58"/>
        <v>13783</v>
      </c>
      <c r="Y165" s="103">
        <v>23.16</v>
      </c>
      <c r="Z165" s="113">
        <f ca="1">ROUND(IF(ISNUMBER(R165),R165,IF(LEFT(R165,3)="BDI",HLOOKUP(R165,DADOS!$T$37:$X$38,2,FALSE),0)),15-11*$X$5)</f>
        <v>0.21390000000000001</v>
      </c>
      <c r="AA165" s="1"/>
    </row>
    <row r="166" spans="1:27" x14ac:dyDescent="0.2">
      <c r="A166" t="str">
        <f t="shared" si="41"/>
        <v>S</v>
      </c>
      <c r="B166">
        <f t="shared" si="42"/>
        <v>0</v>
      </c>
      <c r="C166">
        <f t="shared" ca="1" si="43"/>
        <v>1</v>
      </c>
      <c r="D166">
        <f t="shared" ca="1" si="44"/>
        <v>8</v>
      </c>
      <c r="E166">
        <f t="shared" ca="1" si="45"/>
        <v>0</v>
      </c>
      <c r="F166">
        <f t="shared" ca="1" si="46"/>
        <v>0</v>
      </c>
      <c r="G166">
        <f t="shared" ca="1" si="47"/>
        <v>54</v>
      </c>
      <c r="H166">
        <f t="shared" ca="1" si="54"/>
        <v>0</v>
      </c>
      <c r="I166">
        <f t="shared" ca="1" si="55"/>
        <v>0</v>
      </c>
      <c r="J166" s="353" t="s">
        <v>103</v>
      </c>
      <c r="K166" s="138" t="str">
        <f t="shared" ca="1" si="48"/>
        <v>1.8.0.0.54.</v>
      </c>
      <c r="L166" s="355" t="s">
        <v>236</v>
      </c>
      <c r="M166" s="355" t="s">
        <v>400</v>
      </c>
      <c r="N166" s="357" t="s">
        <v>571</v>
      </c>
      <c r="O166" s="358" t="s">
        <v>640</v>
      </c>
      <c r="P166" s="360">
        <v>1</v>
      </c>
      <c r="Q166" s="195"/>
      <c r="R166" s="198" t="s">
        <v>7</v>
      </c>
      <c r="S166" s="103">
        <f t="shared" si="56"/>
        <v>0</v>
      </c>
      <c r="T166" s="83">
        <f t="shared" si="57"/>
        <v>0</v>
      </c>
      <c r="U166" s="9" t="str">
        <f t="shared" si="51"/>
        <v>SEM VALOR</v>
      </c>
      <c r="V166" s="1" t="str">
        <f ca="1">IF(OR($A166=0,$A166="S",$A166&gt;CFF!$A$9),"",MAX(V$12:OFFSET(V166,-1,0))+1)</f>
        <v/>
      </c>
      <c r="W166" s="4" t="str">
        <f t="shared" si="52"/>
        <v>SINAPI-I-43055</v>
      </c>
      <c r="X166" s="1">
        <f t="shared" ca="1" si="58"/>
        <v>163</v>
      </c>
      <c r="Y166" s="103">
        <v>9.5500000000000007</v>
      </c>
      <c r="Z166" s="113">
        <f ca="1">ROUND(IF(ISNUMBER(R166),R166,IF(LEFT(R166,3)="BDI",HLOOKUP(R166,DADOS!$T$37:$X$38,2,FALSE),0)),15-11*$X$5)</f>
        <v>0.21390000000000001</v>
      </c>
      <c r="AA166" s="1"/>
    </row>
    <row r="167" spans="1:27" ht="25.5" x14ac:dyDescent="0.2">
      <c r="A167" t="str">
        <f t="shared" si="41"/>
        <v>S</v>
      </c>
      <c r="B167">
        <f t="shared" si="42"/>
        <v>0</v>
      </c>
      <c r="C167">
        <f t="shared" ca="1" si="43"/>
        <v>1</v>
      </c>
      <c r="D167">
        <f t="shared" ca="1" si="44"/>
        <v>8</v>
      </c>
      <c r="E167">
        <f t="shared" ca="1" si="45"/>
        <v>0</v>
      </c>
      <c r="F167">
        <f t="shared" ca="1" si="46"/>
        <v>0</v>
      </c>
      <c r="G167">
        <f t="shared" ca="1" si="47"/>
        <v>55</v>
      </c>
      <c r="H167">
        <f t="shared" ca="1" si="54"/>
        <v>0</v>
      </c>
      <c r="I167">
        <f t="shared" ca="1" si="55"/>
        <v>0</v>
      </c>
      <c r="J167" s="353" t="s">
        <v>103</v>
      </c>
      <c r="K167" s="138" t="str">
        <f t="shared" ca="1" si="48"/>
        <v>1.8.0.0.55.</v>
      </c>
      <c r="L167" s="355" t="s">
        <v>237</v>
      </c>
      <c r="M167" s="355" t="s">
        <v>419</v>
      </c>
      <c r="N167" s="357" t="s">
        <v>572</v>
      </c>
      <c r="O167" s="358" t="s">
        <v>638</v>
      </c>
      <c r="P167" s="360">
        <v>1</v>
      </c>
      <c r="Q167" s="195"/>
      <c r="R167" s="198" t="s">
        <v>7</v>
      </c>
      <c r="S167" s="103">
        <f t="shared" si="56"/>
        <v>0</v>
      </c>
      <c r="T167" s="83">
        <f t="shared" si="57"/>
        <v>0</v>
      </c>
      <c r="U167" s="9" t="str">
        <f t="shared" si="51"/>
        <v>SEM VALOR</v>
      </c>
      <c r="V167" s="1" t="str">
        <f ca="1">IF(OR($A167=0,$A167="S",$A167&gt;CFF!$A$9),"",MAX(V$12:OFFSET(V167,-1,0))+1)</f>
        <v/>
      </c>
      <c r="W167" s="4" t="str">
        <f t="shared" si="52"/>
        <v>PM BENTO-152</v>
      </c>
      <c r="X167" s="1">
        <f t="shared" ca="1" si="58"/>
        <v>80</v>
      </c>
      <c r="Y167" s="103">
        <v>2872.8</v>
      </c>
      <c r="Z167" s="113">
        <f ca="1">ROUND(IF(ISNUMBER(R167),R167,IF(LEFT(R167,3)="BDI",HLOOKUP(R167,DADOS!$T$37:$X$38,2,FALSE),0)),15-11*$X$5)</f>
        <v>0.21390000000000001</v>
      </c>
      <c r="AA167" s="1"/>
    </row>
    <row r="168" spans="1:27" ht="25.5" x14ac:dyDescent="0.2">
      <c r="A168" t="str">
        <f t="shared" si="41"/>
        <v>S</v>
      </c>
      <c r="B168">
        <f t="shared" si="42"/>
        <v>0</v>
      </c>
      <c r="C168">
        <f t="shared" ca="1" si="43"/>
        <v>1</v>
      </c>
      <c r="D168">
        <f t="shared" ca="1" si="44"/>
        <v>8</v>
      </c>
      <c r="E168">
        <f t="shared" ca="1" si="45"/>
        <v>0</v>
      </c>
      <c r="F168">
        <f t="shared" ca="1" si="46"/>
        <v>0</v>
      </c>
      <c r="G168">
        <f t="shared" ca="1" si="47"/>
        <v>56</v>
      </c>
      <c r="H168">
        <f t="shared" ca="1" si="54"/>
        <v>0</v>
      </c>
      <c r="I168">
        <f t="shared" ca="1" si="55"/>
        <v>0</v>
      </c>
      <c r="J168" s="353" t="s">
        <v>103</v>
      </c>
      <c r="K168" s="138" t="str">
        <f t="shared" ca="1" si="48"/>
        <v>1.8.0.0.56.</v>
      </c>
      <c r="L168" s="355" t="s">
        <v>231</v>
      </c>
      <c r="M168" s="355" t="s">
        <v>401</v>
      </c>
      <c r="N168" s="357" t="s">
        <v>573</v>
      </c>
      <c r="O168" s="358" t="s">
        <v>629</v>
      </c>
      <c r="P168" s="360">
        <v>3</v>
      </c>
      <c r="Q168" s="195"/>
      <c r="R168" s="198" t="s">
        <v>7</v>
      </c>
      <c r="S168" s="103">
        <f t="shared" si="56"/>
        <v>0</v>
      </c>
      <c r="T168" s="83">
        <f t="shared" si="57"/>
        <v>0</v>
      </c>
      <c r="U168" s="9" t="str">
        <f t="shared" si="51"/>
        <v>SEM VALOR</v>
      </c>
      <c r="V168" s="1" t="str">
        <f ca="1">IF(OR($A168=0,$A168="S",$A168&gt;CFF!$A$9),"",MAX(V$12:OFFSET(V168,-1,0))+1)</f>
        <v/>
      </c>
      <c r="W168" s="4" t="str">
        <f t="shared" si="52"/>
        <v>SINAPI-97886</v>
      </c>
      <c r="X168" s="1">
        <f t="shared" ca="1" si="58"/>
        <v>6048</v>
      </c>
      <c r="Y168" s="103">
        <v>204.65</v>
      </c>
      <c r="Z168" s="113">
        <f ca="1">ROUND(IF(ISNUMBER(R168),R168,IF(LEFT(R168,3)="BDI",HLOOKUP(R168,DADOS!$T$37:$X$38,2,FALSE),0)),15-11*$X$5)</f>
        <v>0.21390000000000001</v>
      </c>
      <c r="AA168" s="1"/>
    </row>
    <row r="169" spans="1:27" x14ac:dyDescent="0.2">
      <c r="A169" t="str">
        <f t="shared" si="41"/>
        <v>S</v>
      </c>
      <c r="B169">
        <f t="shared" si="42"/>
        <v>0</v>
      </c>
      <c r="C169">
        <f t="shared" ca="1" si="43"/>
        <v>1</v>
      </c>
      <c r="D169">
        <f t="shared" ca="1" si="44"/>
        <v>8</v>
      </c>
      <c r="E169">
        <f t="shared" ca="1" si="45"/>
        <v>0</v>
      </c>
      <c r="F169">
        <f t="shared" ca="1" si="46"/>
        <v>0</v>
      </c>
      <c r="G169">
        <f t="shared" ca="1" si="47"/>
        <v>57</v>
      </c>
      <c r="H169">
        <f t="shared" ca="1" si="54"/>
        <v>0</v>
      </c>
      <c r="I169">
        <f t="shared" ca="1" si="55"/>
        <v>0</v>
      </c>
      <c r="J169" s="353" t="s">
        <v>103</v>
      </c>
      <c r="K169" s="138" t="str">
        <f t="shared" ca="1" si="48"/>
        <v>1.8.0.0.57.</v>
      </c>
      <c r="L169" s="355" t="s">
        <v>237</v>
      </c>
      <c r="M169" s="355" t="s">
        <v>424</v>
      </c>
      <c r="N169" s="357" t="s">
        <v>574</v>
      </c>
      <c r="O169" s="358" t="s">
        <v>632</v>
      </c>
      <c r="P169" s="360">
        <v>20</v>
      </c>
      <c r="Q169" s="195"/>
      <c r="R169" s="198" t="s">
        <v>7</v>
      </c>
      <c r="S169" s="103">
        <f t="shared" si="56"/>
        <v>0</v>
      </c>
      <c r="T169" s="83">
        <f t="shared" si="57"/>
        <v>0</v>
      </c>
      <c r="U169" s="9" t="str">
        <f t="shared" si="51"/>
        <v>SEM VALOR</v>
      </c>
      <c r="V169" s="1" t="str">
        <f ca="1">IF(OR($A169=0,$A169="S",$A169&gt;CFF!$A$9),"",MAX(V$12:OFFSET(V169,-1,0))+1)</f>
        <v/>
      </c>
      <c r="W169" s="4" t="str">
        <f t="shared" si="52"/>
        <v>PM BENTO-137</v>
      </c>
      <c r="X169" s="1">
        <f t="shared" ca="1" si="58"/>
        <v>64</v>
      </c>
      <c r="Y169" s="103">
        <v>2.11</v>
      </c>
      <c r="Z169" s="113">
        <f ca="1">ROUND(IF(ISNUMBER(R169),R169,IF(LEFT(R169,3)="BDI",HLOOKUP(R169,DADOS!$T$37:$X$38,2,FALSE),0)),15-11*$X$5)</f>
        <v>0.21390000000000001</v>
      </c>
      <c r="AA169" s="1"/>
    </row>
    <row r="170" spans="1:27" x14ac:dyDescent="0.2">
      <c r="A170" t="str">
        <f t="shared" si="41"/>
        <v>S</v>
      </c>
      <c r="B170">
        <f t="shared" si="42"/>
        <v>0</v>
      </c>
      <c r="C170">
        <f t="shared" ca="1" si="43"/>
        <v>1</v>
      </c>
      <c r="D170">
        <f t="shared" ca="1" si="44"/>
        <v>8</v>
      </c>
      <c r="E170">
        <f t="shared" ca="1" si="45"/>
        <v>0</v>
      </c>
      <c r="F170">
        <f t="shared" ca="1" si="46"/>
        <v>0</v>
      </c>
      <c r="G170">
        <f t="shared" ca="1" si="47"/>
        <v>58</v>
      </c>
      <c r="H170">
        <f t="shared" ca="1" si="54"/>
        <v>0</v>
      </c>
      <c r="I170">
        <f t="shared" ca="1" si="55"/>
        <v>0</v>
      </c>
      <c r="J170" s="353" t="s">
        <v>103</v>
      </c>
      <c r="K170" s="138" t="str">
        <f t="shared" ca="1" si="48"/>
        <v>1.8.0.0.58.</v>
      </c>
      <c r="L170" s="355" t="s">
        <v>237</v>
      </c>
      <c r="M170" s="355" t="s">
        <v>420</v>
      </c>
      <c r="N170" s="357" t="s">
        <v>575</v>
      </c>
      <c r="O170" s="358" t="s">
        <v>638</v>
      </c>
      <c r="P170" s="360">
        <v>20</v>
      </c>
      <c r="Q170" s="195"/>
      <c r="R170" s="198" t="s">
        <v>7</v>
      </c>
      <c r="S170" s="103">
        <f t="shared" si="56"/>
        <v>0</v>
      </c>
      <c r="T170" s="83">
        <f t="shared" si="57"/>
        <v>0</v>
      </c>
      <c r="U170" s="9" t="str">
        <f t="shared" si="51"/>
        <v>SEM VALOR</v>
      </c>
      <c r="V170" s="1" t="str">
        <f ca="1">IF(OR($A170=0,$A170="S",$A170&gt;CFF!$A$9),"",MAX(V$12:OFFSET(V170,-1,0))+1)</f>
        <v/>
      </c>
      <c r="W170" s="4" t="str">
        <f t="shared" si="52"/>
        <v>PM BENTO-153</v>
      </c>
      <c r="X170" s="1">
        <f t="shared" ca="1" si="58"/>
        <v>81</v>
      </c>
      <c r="Y170" s="103">
        <v>110.23</v>
      </c>
      <c r="Z170" s="113">
        <f ca="1">ROUND(IF(ISNUMBER(R170),R170,IF(LEFT(R170,3)="BDI",HLOOKUP(R170,DADOS!$T$37:$X$38,2,FALSE),0)),15-11*$X$5)</f>
        <v>0.21390000000000001</v>
      </c>
      <c r="AA170" s="1"/>
    </row>
    <row r="171" spans="1:27" ht="25.5" x14ac:dyDescent="0.2">
      <c r="A171" t="str">
        <f t="shared" si="41"/>
        <v>S</v>
      </c>
      <c r="B171">
        <f t="shared" si="42"/>
        <v>0</v>
      </c>
      <c r="C171">
        <f t="shared" ca="1" si="43"/>
        <v>1</v>
      </c>
      <c r="D171">
        <f t="shared" ca="1" si="44"/>
        <v>8</v>
      </c>
      <c r="E171">
        <f t="shared" ca="1" si="45"/>
        <v>0</v>
      </c>
      <c r="F171">
        <f t="shared" ca="1" si="46"/>
        <v>0</v>
      </c>
      <c r="G171">
        <f t="shared" ca="1" si="47"/>
        <v>59</v>
      </c>
      <c r="H171">
        <f t="shared" ca="1" si="54"/>
        <v>0</v>
      </c>
      <c r="I171">
        <f t="shared" ca="1" si="55"/>
        <v>0</v>
      </c>
      <c r="J171" s="353" t="s">
        <v>103</v>
      </c>
      <c r="K171" s="138" t="str">
        <f t="shared" ca="1" si="48"/>
        <v>1.8.0.0.59.</v>
      </c>
      <c r="L171" s="355" t="s">
        <v>231</v>
      </c>
      <c r="M171" s="355" t="s">
        <v>402</v>
      </c>
      <c r="N171" s="357" t="s">
        <v>576</v>
      </c>
      <c r="O171" s="358" t="s">
        <v>629</v>
      </c>
      <c r="P171" s="360">
        <f>8-P221</f>
        <v>4</v>
      </c>
      <c r="Q171" s="195"/>
      <c r="R171" s="198" t="s">
        <v>7</v>
      </c>
      <c r="S171" s="103">
        <f t="shared" si="56"/>
        <v>0</v>
      </c>
      <c r="T171" s="83">
        <f t="shared" si="57"/>
        <v>0</v>
      </c>
      <c r="U171" s="9" t="str">
        <f t="shared" si="51"/>
        <v>SEM VALOR</v>
      </c>
      <c r="V171" s="1" t="str">
        <f ca="1">IF(OR($A171=0,$A171="S",$A171&gt;CFF!$A$9),"",MAX(V$12:OFFSET(V171,-1,0))+1)</f>
        <v/>
      </c>
      <c r="W171" s="4" t="str">
        <f t="shared" si="52"/>
        <v>SINAPI-103782</v>
      </c>
      <c r="X171" s="1">
        <f t="shared" ca="1" si="58"/>
        <v>9209</v>
      </c>
      <c r="Y171" s="103">
        <v>34.979999999999997</v>
      </c>
      <c r="Z171" s="113">
        <f ca="1">ROUND(IF(ISNUMBER(R171),R171,IF(LEFT(R171,3)="BDI",HLOOKUP(R171,DADOS!$T$37:$X$38,2,FALSE),0)),15-11*$X$5)</f>
        <v>0.21390000000000001</v>
      </c>
      <c r="AA171" s="1"/>
    </row>
    <row r="172" spans="1:27" x14ac:dyDescent="0.2">
      <c r="A172" t="str">
        <f t="shared" si="41"/>
        <v>S</v>
      </c>
      <c r="B172">
        <f t="shared" si="42"/>
        <v>0</v>
      </c>
      <c r="C172">
        <f t="shared" ca="1" si="43"/>
        <v>1</v>
      </c>
      <c r="D172">
        <f t="shared" ca="1" si="44"/>
        <v>8</v>
      </c>
      <c r="E172">
        <f t="shared" ca="1" si="45"/>
        <v>0</v>
      </c>
      <c r="F172">
        <f t="shared" ca="1" si="46"/>
        <v>0</v>
      </c>
      <c r="G172">
        <f t="shared" ca="1" si="47"/>
        <v>60</v>
      </c>
      <c r="H172">
        <f t="shared" ca="1" si="54"/>
        <v>0</v>
      </c>
      <c r="I172">
        <f t="shared" ca="1" si="55"/>
        <v>0</v>
      </c>
      <c r="J172" s="353" t="s">
        <v>103</v>
      </c>
      <c r="K172" s="138" t="str">
        <f t="shared" ca="1" si="48"/>
        <v>1.8.0.0.60.</v>
      </c>
      <c r="L172" s="355" t="s">
        <v>236</v>
      </c>
      <c r="M172" s="355" t="s">
        <v>403</v>
      </c>
      <c r="N172" s="357" t="s">
        <v>577</v>
      </c>
      <c r="O172" s="358" t="s">
        <v>629</v>
      </c>
      <c r="P172" s="360">
        <v>8</v>
      </c>
      <c r="Q172" s="195"/>
      <c r="R172" s="198" t="s">
        <v>7</v>
      </c>
      <c r="S172" s="103">
        <f t="shared" si="56"/>
        <v>0</v>
      </c>
      <c r="T172" s="83">
        <f t="shared" si="57"/>
        <v>0</v>
      </c>
      <c r="U172" s="9" t="str">
        <f t="shared" si="51"/>
        <v>SEM VALOR</v>
      </c>
      <c r="V172" s="1" t="str">
        <f ca="1">IF(OR($A172=0,$A172="S",$A172&gt;CFF!$A$9),"",MAX(V$12:OFFSET(V172,-1,0))+1)</f>
        <v/>
      </c>
      <c r="W172" s="4" t="str">
        <f t="shared" si="52"/>
        <v>SINAPI-I-39391</v>
      </c>
      <c r="X172" s="1">
        <f t="shared" ca="1" si="58"/>
        <v>2698</v>
      </c>
      <c r="Y172" s="103">
        <v>32.75</v>
      </c>
      <c r="Z172" s="113">
        <f ca="1">ROUND(IF(ISNUMBER(R172),R172,IF(LEFT(R172,3)="BDI",HLOOKUP(R172,DADOS!$T$37:$X$38,2,FALSE),0)),15-11*$X$5)</f>
        <v>0.21390000000000001</v>
      </c>
      <c r="AA172" s="1"/>
    </row>
    <row r="173" spans="1:27" ht="25.5" x14ac:dyDescent="0.2">
      <c r="A173" t="str">
        <f t="shared" si="41"/>
        <v>S</v>
      </c>
      <c r="B173">
        <f t="shared" si="42"/>
        <v>0</v>
      </c>
      <c r="C173">
        <f t="shared" ca="1" si="43"/>
        <v>1</v>
      </c>
      <c r="D173">
        <f t="shared" ca="1" si="44"/>
        <v>8</v>
      </c>
      <c r="E173">
        <f t="shared" ca="1" si="45"/>
        <v>0</v>
      </c>
      <c r="F173">
        <f t="shared" ca="1" si="46"/>
        <v>0</v>
      </c>
      <c r="G173">
        <f t="shared" ca="1" si="47"/>
        <v>61</v>
      </c>
      <c r="H173">
        <f t="shared" ca="1" si="54"/>
        <v>0</v>
      </c>
      <c r="I173">
        <f t="shared" ca="1" si="55"/>
        <v>0</v>
      </c>
      <c r="J173" s="353" t="s">
        <v>103</v>
      </c>
      <c r="K173" s="138" t="str">
        <f t="shared" ca="1" si="48"/>
        <v>1.8.0.0.61.</v>
      </c>
      <c r="L173" s="355" t="s">
        <v>231</v>
      </c>
      <c r="M173" s="355" t="s">
        <v>404</v>
      </c>
      <c r="N173" s="357" t="s">
        <v>578</v>
      </c>
      <c r="O173" s="358" t="s">
        <v>629</v>
      </c>
      <c r="P173" s="360">
        <v>8</v>
      </c>
      <c r="Q173" s="195"/>
      <c r="R173" s="198" t="s">
        <v>7</v>
      </c>
      <c r="S173" s="103">
        <f t="shared" si="56"/>
        <v>0</v>
      </c>
      <c r="T173" s="83">
        <f t="shared" si="57"/>
        <v>0</v>
      </c>
      <c r="U173" s="9" t="str">
        <f t="shared" si="51"/>
        <v>SEM VALOR</v>
      </c>
      <c r="V173" s="1" t="str">
        <f ca="1">IF(OR($A173=0,$A173="S",$A173&gt;CFF!$A$9),"",MAX(V$12:OFFSET(V173,-1,0))+1)</f>
        <v/>
      </c>
      <c r="W173" s="4" t="str">
        <f t="shared" si="52"/>
        <v>SINAPI-101632</v>
      </c>
      <c r="X173" s="1">
        <f t="shared" ca="1" si="58"/>
        <v>12176</v>
      </c>
      <c r="Y173" s="103">
        <v>44.08</v>
      </c>
      <c r="Z173" s="113">
        <f ca="1">ROUND(IF(ISNUMBER(R173),R173,IF(LEFT(R173,3)="BDI",HLOOKUP(R173,DADOS!$T$37:$X$38,2,FALSE),0)),15-11*$X$5)</f>
        <v>0.21390000000000001</v>
      </c>
      <c r="AA173" s="1"/>
    </row>
    <row r="174" spans="1:27" ht="25.5" x14ac:dyDescent="0.2">
      <c r="A174" t="str">
        <f t="shared" si="41"/>
        <v>S</v>
      </c>
      <c r="B174">
        <f t="shared" si="42"/>
        <v>0</v>
      </c>
      <c r="C174">
        <f t="shared" ca="1" si="43"/>
        <v>1</v>
      </c>
      <c r="D174">
        <f t="shared" ca="1" si="44"/>
        <v>8</v>
      </c>
      <c r="E174">
        <f t="shared" ca="1" si="45"/>
        <v>0</v>
      </c>
      <c r="F174">
        <f t="shared" ca="1" si="46"/>
        <v>0</v>
      </c>
      <c r="G174">
        <f t="shared" ca="1" si="47"/>
        <v>62</v>
      </c>
      <c r="H174">
        <f t="shared" ca="1" si="54"/>
        <v>0</v>
      </c>
      <c r="I174">
        <f t="shared" ca="1" si="55"/>
        <v>0</v>
      </c>
      <c r="J174" s="353" t="s">
        <v>103</v>
      </c>
      <c r="K174" s="138" t="str">
        <f t="shared" ca="1" si="48"/>
        <v>1.8.0.0.62.</v>
      </c>
      <c r="L174" s="355" t="s">
        <v>237</v>
      </c>
      <c r="M174" s="355" t="s">
        <v>421</v>
      </c>
      <c r="N174" s="357" t="s">
        <v>579</v>
      </c>
      <c r="O174" s="358" t="s">
        <v>638</v>
      </c>
      <c r="P174" s="360">
        <v>146</v>
      </c>
      <c r="Q174" s="195"/>
      <c r="R174" s="198" t="s">
        <v>7</v>
      </c>
      <c r="S174" s="103">
        <f t="shared" si="56"/>
        <v>0</v>
      </c>
      <c r="T174" s="83">
        <f t="shared" si="57"/>
        <v>0</v>
      </c>
      <c r="U174" s="9" t="str">
        <f t="shared" si="51"/>
        <v>SEM VALOR</v>
      </c>
      <c r="V174" s="1" t="str">
        <f ca="1">IF(OR($A174=0,$A174="S",$A174&gt;CFF!$A$9),"",MAX(V$12:OFFSET(V174,-1,0))+1)</f>
        <v/>
      </c>
      <c r="W174" s="4" t="str">
        <f t="shared" si="52"/>
        <v>PM BENTO-154</v>
      </c>
      <c r="X174" s="1">
        <f t="shared" ca="1" si="58"/>
        <v>82</v>
      </c>
      <c r="Y174" s="103">
        <v>244.93</v>
      </c>
      <c r="Z174" s="113">
        <f ca="1">ROUND(IF(ISNUMBER(R174),R174,IF(LEFT(R174,3)="BDI",HLOOKUP(R174,DADOS!$T$37:$X$38,2,FALSE),0)),15-11*$X$5)</f>
        <v>0.21390000000000001</v>
      </c>
      <c r="AA174" s="1"/>
    </row>
    <row r="175" spans="1:27" ht="25.5" x14ac:dyDescent="0.2">
      <c r="A175" t="str">
        <f t="shared" si="41"/>
        <v>S</v>
      </c>
      <c r="B175">
        <f t="shared" si="42"/>
        <v>0</v>
      </c>
      <c r="C175">
        <f t="shared" ca="1" si="43"/>
        <v>1</v>
      </c>
      <c r="D175">
        <f t="shared" ca="1" si="44"/>
        <v>8</v>
      </c>
      <c r="E175">
        <f t="shared" ca="1" si="45"/>
        <v>0</v>
      </c>
      <c r="F175">
        <f t="shared" ca="1" si="46"/>
        <v>0</v>
      </c>
      <c r="G175">
        <f t="shared" ca="1" si="47"/>
        <v>63</v>
      </c>
      <c r="H175">
        <f t="shared" ca="1" si="54"/>
        <v>0</v>
      </c>
      <c r="I175">
        <f t="shared" ca="1" si="55"/>
        <v>0</v>
      </c>
      <c r="J175" s="353" t="s">
        <v>103</v>
      </c>
      <c r="K175" s="138" t="str">
        <f t="shared" ca="1" si="48"/>
        <v>1.8.0.0.63.</v>
      </c>
      <c r="L175" s="355" t="s">
        <v>231</v>
      </c>
      <c r="M175" s="355" t="s">
        <v>305</v>
      </c>
      <c r="N175" s="357" t="s">
        <v>580</v>
      </c>
      <c r="O175" s="358" t="s">
        <v>632</v>
      </c>
      <c r="P175" s="360">
        <v>2300</v>
      </c>
      <c r="Q175" s="195"/>
      <c r="R175" s="198" t="s">
        <v>7</v>
      </c>
      <c r="S175" s="103">
        <f t="shared" si="56"/>
        <v>0</v>
      </c>
      <c r="T175" s="83">
        <f t="shared" si="57"/>
        <v>0</v>
      </c>
      <c r="U175" s="9" t="str">
        <f t="shared" si="51"/>
        <v>SEM VALOR</v>
      </c>
      <c r="V175" s="1" t="str">
        <f ca="1">IF(OR($A175=0,$A175="S",$A175&gt;CFF!$A$9),"",MAX(V$12:OFFSET(V175,-1,0))+1)</f>
        <v/>
      </c>
      <c r="W175" s="4" t="str">
        <f t="shared" si="52"/>
        <v>SINAPI-104793</v>
      </c>
      <c r="X175" s="1">
        <f t="shared" ca="1" si="58"/>
        <v>6781</v>
      </c>
      <c r="Y175" s="103">
        <v>0.7</v>
      </c>
      <c r="Z175" s="113">
        <f ca="1">ROUND(IF(ISNUMBER(R175),R175,IF(LEFT(R175,3)="BDI",HLOOKUP(R175,DADOS!$T$37:$X$38,2,FALSE),0)),15-11*$X$5)</f>
        <v>0.21390000000000001</v>
      </c>
      <c r="AA175" s="1"/>
    </row>
    <row r="176" spans="1:27" ht="25.5" x14ac:dyDescent="0.2">
      <c r="A176" t="str">
        <f t="shared" si="41"/>
        <v>S</v>
      </c>
      <c r="B176">
        <f t="shared" si="42"/>
        <v>0</v>
      </c>
      <c r="C176">
        <f t="shared" ca="1" si="43"/>
        <v>1</v>
      </c>
      <c r="D176">
        <f t="shared" ca="1" si="44"/>
        <v>8</v>
      </c>
      <c r="E176">
        <f t="shared" ca="1" si="45"/>
        <v>0</v>
      </c>
      <c r="F176">
        <f t="shared" ca="1" si="46"/>
        <v>0</v>
      </c>
      <c r="G176">
        <f t="shared" ca="1" si="47"/>
        <v>64</v>
      </c>
      <c r="H176">
        <f t="shared" ca="1" si="54"/>
        <v>0</v>
      </c>
      <c r="I176">
        <f t="shared" ca="1" si="55"/>
        <v>0</v>
      </c>
      <c r="J176" s="353" t="s">
        <v>103</v>
      </c>
      <c r="K176" s="138" t="str">
        <f t="shared" ca="1" si="48"/>
        <v>1.8.0.0.64.</v>
      </c>
      <c r="L176" s="355" t="s">
        <v>231</v>
      </c>
      <c r="M176" s="355" t="s">
        <v>306</v>
      </c>
      <c r="N176" s="357" t="s">
        <v>581</v>
      </c>
      <c r="O176" s="358" t="s">
        <v>629</v>
      </c>
      <c r="P176" s="360">
        <v>120</v>
      </c>
      <c r="Q176" s="195"/>
      <c r="R176" s="198" t="s">
        <v>7</v>
      </c>
      <c r="S176" s="103">
        <f t="shared" ref="S176:S186" si="59">IF($A176="S",IF($Q$10="Preço Unitário (R$)",PO.CustoUnitario,ROUND(PO.CustoUnitario*(1+$Z176),15-13*$X$6)),0)</f>
        <v>0</v>
      </c>
      <c r="T176" s="83">
        <f t="shared" ref="T176:T186" si="60">IF($A176="S",VTOTAL1,IF($A176=0,0,ROUND(SomaAgrup,15-13*$X$7)))</f>
        <v>0</v>
      </c>
      <c r="U176" s="9" t="str">
        <f t="shared" si="51"/>
        <v>SEM VALOR</v>
      </c>
      <c r="V176" s="1" t="str">
        <f ca="1">IF(OR($A176=0,$A176="S",$A176&gt;CFF!$A$9),"",MAX(V$12:OFFSET(V176,-1,0))+1)</f>
        <v/>
      </c>
      <c r="W176" s="4" t="str">
        <f t="shared" si="52"/>
        <v>SINAPI-97660</v>
      </c>
      <c r="X176" s="1">
        <f t="shared" ref="X176:X186" ca="1" si="61">IF(AND(Fonte&lt;&gt;"",Código&lt;&gt;""),MATCH(Fonte&amp;" "&amp;IF(Fonte="sinapi",SUBSTITUTE(SUBSTITUTE(Código,"/00","/"),"/0","/"),Código),INDIRECT("'[Referência "&amp;_xlnm.Database&amp;".xls]Banco'!$a:$a"),0),"X")</f>
        <v>6786</v>
      </c>
      <c r="Y176" s="103">
        <v>0.87</v>
      </c>
      <c r="Z176" s="113">
        <f ca="1">ROUND(IF(ISNUMBER(R176),R176,IF(LEFT(R176,3)="BDI",HLOOKUP(R176,DADOS!$T$37:$X$38,2,FALSE),0)),15-11*$X$5)</f>
        <v>0.21390000000000001</v>
      </c>
      <c r="AA176" s="1"/>
    </row>
    <row r="177" spans="1:27" x14ac:dyDescent="0.2">
      <c r="A177" t="str">
        <f t="shared" si="41"/>
        <v>S</v>
      </c>
      <c r="B177">
        <f t="shared" si="42"/>
        <v>0</v>
      </c>
      <c r="C177">
        <f t="shared" ca="1" si="43"/>
        <v>1</v>
      </c>
      <c r="D177">
        <f t="shared" ca="1" si="44"/>
        <v>8</v>
      </c>
      <c r="E177">
        <f t="shared" ca="1" si="45"/>
        <v>0</v>
      </c>
      <c r="F177">
        <f t="shared" ca="1" si="46"/>
        <v>0</v>
      </c>
      <c r="G177">
        <f t="shared" ca="1" si="47"/>
        <v>65</v>
      </c>
      <c r="H177">
        <f t="shared" ca="1" si="54"/>
        <v>0</v>
      </c>
      <c r="I177">
        <f t="shared" ca="1" si="55"/>
        <v>0</v>
      </c>
      <c r="J177" s="353" t="s">
        <v>103</v>
      </c>
      <c r="K177" s="138" t="str">
        <f t="shared" ca="1" si="48"/>
        <v>1.8.0.0.65.</v>
      </c>
      <c r="L177" s="355" t="s">
        <v>231</v>
      </c>
      <c r="M177" s="355" t="s">
        <v>307</v>
      </c>
      <c r="N177" s="357" t="s">
        <v>582</v>
      </c>
      <c r="O177" s="358" t="s">
        <v>629</v>
      </c>
      <c r="P177" s="360">
        <v>150</v>
      </c>
      <c r="Q177" s="195"/>
      <c r="R177" s="198" t="s">
        <v>7</v>
      </c>
      <c r="S177" s="103">
        <f t="shared" si="59"/>
        <v>0</v>
      </c>
      <c r="T177" s="83">
        <f t="shared" si="60"/>
        <v>0</v>
      </c>
      <c r="U177" s="9" t="str">
        <f t="shared" si="51"/>
        <v>SEM VALOR</v>
      </c>
      <c r="V177" s="1" t="str">
        <f ca="1">IF(OR($A177=0,$A177="S",$A177&gt;CFF!$A$9),"",MAX(V$12:OFFSET(V177,-1,0))+1)</f>
        <v/>
      </c>
      <c r="W177" s="4" t="str">
        <f t="shared" si="52"/>
        <v>SINAPI-97665</v>
      </c>
      <c r="X177" s="1">
        <f t="shared" ca="1" si="61"/>
        <v>6789</v>
      </c>
      <c r="Y177" s="103">
        <v>2.37</v>
      </c>
      <c r="Z177" s="113">
        <f ca="1">ROUND(IF(ISNUMBER(R177),R177,IF(LEFT(R177,3)="BDI",HLOOKUP(R177,DADOS!$T$37:$X$38,2,FALSE),0)),15-11*$X$5)</f>
        <v>0.21390000000000001</v>
      </c>
      <c r="AA177" s="1"/>
    </row>
    <row r="178" spans="1:27" x14ac:dyDescent="0.2">
      <c r="A178" t="str">
        <f t="shared" si="41"/>
        <v>S</v>
      </c>
      <c r="B178">
        <f t="shared" si="42"/>
        <v>0</v>
      </c>
      <c r="C178">
        <f t="shared" ca="1" si="43"/>
        <v>1</v>
      </c>
      <c r="D178">
        <f t="shared" ca="1" si="44"/>
        <v>8</v>
      </c>
      <c r="E178">
        <f t="shared" ca="1" si="45"/>
        <v>0</v>
      </c>
      <c r="F178">
        <f t="shared" ca="1" si="46"/>
        <v>0</v>
      </c>
      <c r="G178">
        <f t="shared" ca="1" si="47"/>
        <v>66</v>
      </c>
      <c r="H178">
        <f t="shared" ca="1" si="54"/>
        <v>0</v>
      </c>
      <c r="I178">
        <f t="shared" ca="1" si="55"/>
        <v>0</v>
      </c>
      <c r="J178" s="353" t="s">
        <v>103</v>
      </c>
      <c r="K178" s="138" t="str">
        <f t="shared" ca="1" si="48"/>
        <v>1.8.0.0.66.</v>
      </c>
      <c r="L178" s="355" t="s">
        <v>231</v>
      </c>
      <c r="M178" s="355" t="s">
        <v>405</v>
      </c>
      <c r="N178" s="357" t="s">
        <v>583</v>
      </c>
      <c r="O178" s="358" t="s">
        <v>637</v>
      </c>
      <c r="P178" s="360">
        <v>24</v>
      </c>
      <c r="Q178" s="195"/>
      <c r="R178" s="198" t="s">
        <v>7</v>
      </c>
      <c r="S178" s="103">
        <f t="shared" si="59"/>
        <v>0</v>
      </c>
      <c r="T178" s="83">
        <f t="shared" si="60"/>
        <v>0</v>
      </c>
      <c r="U178" s="9" t="str">
        <f t="shared" si="51"/>
        <v>SEM VALOR</v>
      </c>
      <c r="V178" s="1" t="str">
        <f ca="1">IF(OR($A178=0,$A178="S",$A178&gt;CFF!$A$9),"",MAX(V$12:OFFSET(V178,-1,0))+1)</f>
        <v/>
      </c>
      <c r="W178" s="4" t="str">
        <f t="shared" si="52"/>
        <v>SINAPI-88264</v>
      </c>
      <c r="X178" s="1">
        <f t="shared" ca="1" si="61"/>
        <v>11913</v>
      </c>
      <c r="Y178" s="103">
        <v>36.44</v>
      </c>
      <c r="Z178" s="113">
        <f ca="1">ROUND(IF(ISNUMBER(R178),R178,IF(LEFT(R178,3)="BDI",HLOOKUP(R178,DADOS!$T$37:$X$38,2,FALSE),0)),15-11*$X$5)</f>
        <v>0.21390000000000001</v>
      </c>
      <c r="AA178" s="1"/>
    </row>
    <row r="179" spans="1:27" x14ac:dyDescent="0.2">
      <c r="A179" t="str">
        <f t="shared" si="41"/>
        <v>S</v>
      </c>
      <c r="B179">
        <f t="shared" si="42"/>
        <v>0</v>
      </c>
      <c r="C179">
        <f t="shared" ca="1" si="43"/>
        <v>1</v>
      </c>
      <c r="D179">
        <f t="shared" ca="1" si="44"/>
        <v>8</v>
      </c>
      <c r="E179">
        <f t="shared" ca="1" si="45"/>
        <v>0</v>
      </c>
      <c r="F179">
        <f t="shared" ca="1" si="46"/>
        <v>0</v>
      </c>
      <c r="G179">
        <f t="shared" ca="1" si="47"/>
        <v>67</v>
      </c>
      <c r="H179">
        <f t="shared" ca="1" si="54"/>
        <v>0</v>
      </c>
      <c r="I179">
        <f t="shared" ca="1" si="55"/>
        <v>0</v>
      </c>
      <c r="J179" s="353" t="s">
        <v>103</v>
      </c>
      <c r="K179" s="138" t="str">
        <f t="shared" ca="1" si="48"/>
        <v>1.8.0.0.67.</v>
      </c>
      <c r="L179" s="355" t="s">
        <v>231</v>
      </c>
      <c r="M179" s="355" t="s">
        <v>406</v>
      </c>
      <c r="N179" s="357" t="s">
        <v>584</v>
      </c>
      <c r="O179" s="358" t="s">
        <v>637</v>
      </c>
      <c r="P179" s="360">
        <v>24</v>
      </c>
      <c r="Q179" s="195"/>
      <c r="R179" s="198" t="s">
        <v>7</v>
      </c>
      <c r="S179" s="103">
        <f t="shared" si="59"/>
        <v>0</v>
      </c>
      <c r="T179" s="83">
        <f t="shared" si="60"/>
        <v>0</v>
      </c>
      <c r="U179" s="9" t="str">
        <f t="shared" si="51"/>
        <v>SEM VALOR</v>
      </c>
      <c r="V179" s="1" t="str">
        <f ca="1">IF(OR($A179=0,$A179="S",$A179&gt;CFF!$A$9),"",MAX(V$12:OFFSET(V179,-1,0))+1)</f>
        <v/>
      </c>
      <c r="W179" s="4" t="str">
        <f t="shared" si="52"/>
        <v>SINAPI-88247</v>
      </c>
      <c r="X179" s="1">
        <f t="shared" ca="1" si="61"/>
        <v>11693</v>
      </c>
      <c r="Y179" s="103">
        <v>30.31</v>
      </c>
      <c r="Z179" s="113">
        <f ca="1">ROUND(IF(ISNUMBER(R179),R179,IF(LEFT(R179,3)="BDI",HLOOKUP(R179,DADOS!$T$37:$X$38,2,FALSE),0)),15-11*$X$5)</f>
        <v>0.21390000000000001</v>
      </c>
      <c r="AA179" s="1"/>
    </row>
    <row r="180" spans="1:27" x14ac:dyDescent="0.2">
      <c r="A180" t="str">
        <f t="shared" si="41"/>
        <v>S</v>
      </c>
      <c r="B180">
        <f t="shared" si="42"/>
        <v>0</v>
      </c>
      <c r="C180">
        <f t="shared" ca="1" si="43"/>
        <v>1</v>
      </c>
      <c r="D180">
        <f t="shared" ca="1" si="44"/>
        <v>8</v>
      </c>
      <c r="E180">
        <f t="shared" ca="1" si="45"/>
        <v>0</v>
      </c>
      <c r="F180">
        <f t="shared" ca="1" si="46"/>
        <v>0</v>
      </c>
      <c r="G180">
        <f t="shared" ca="1" si="47"/>
        <v>68</v>
      </c>
      <c r="H180">
        <f t="shared" ca="1" si="54"/>
        <v>0</v>
      </c>
      <c r="I180">
        <f t="shared" ca="1" si="55"/>
        <v>0</v>
      </c>
      <c r="J180" s="353" t="s">
        <v>103</v>
      </c>
      <c r="K180" s="138" t="str">
        <f t="shared" ca="1" si="48"/>
        <v>1.8.0.0.68.</v>
      </c>
      <c r="L180" s="355" t="s">
        <v>231</v>
      </c>
      <c r="M180" s="355" t="s">
        <v>407</v>
      </c>
      <c r="N180" s="357" t="s">
        <v>585</v>
      </c>
      <c r="O180" s="358" t="s">
        <v>629</v>
      </c>
      <c r="P180" s="360">
        <v>56</v>
      </c>
      <c r="Q180" s="195"/>
      <c r="R180" s="198" t="s">
        <v>7</v>
      </c>
      <c r="S180" s="103">
        <f t="shared" si="59"/>
        <v>0</v>
      </c>
      <c r="T180" s="83">
        <f t="shared" si="60"/>
        <v>0</v>
      </c>
      <c r="U180" s="9" t="str">
        <f t="shared" si="51"/>
        <v>SEM VALOR</v>
      </c>
      <c r="V180" s="1" t="str">
        <f ca="1">IF(OR($A180=0,$A180="S",$A180&gt;CFF!$A$9),"",MAX(V$12:OFFSET(V180,-1,0))+1)</f>
        <v/>
      </c>
      <c r="W180" s="4" t="str">
        <f t="shared" si="52"/>
        <v>SINAPI-98307</v>
      </c>
      <c r="X180" s="1">
        <f t="shared" ca="1" si="61"/>
        <v>13544</v>
      </c>
      <c r="Y180" s="103">
        <v>65.739999999999995</v>
      </c>
      <c r="Z180" s="113">
        <f ca="1">ROUND(IF(ISNUMBER(R180),R180,IF(LEFT(R180,3)="BDI",HLOOKUP(R180,DADOS!$T$37:$X$38,2,FALSE),0)),15-11*$X$5)</f>
        <v>0.21390000000000001</v>
      </c>
      <c r="AA180" s="1"/>
    </row>
    <row r="181" spans="1:27" x14ac:dyDescent="0.2">
      <c r="A181" t="str">
        <f t="shared" si="41"/>
        <v>S</v>
      </c>
      <c r="B181">
        <f t="shared" si="42"/>
        <v>0</v>
      </c>
      <c r="C181">
        <f t="shared" ca="1" si="43"/>
        <v>1</v>
      </c>
      <c r="D181">
        <f t="shared" ca="1" si="44"/>
        <v>8</v>
      </c>
      <c r="E181">
        <f t="shared" ca="1" si="45"/>
        <v>0</v>
      </c>
      <c r="F181">
        <f t="shared" ca="1" si="46"/>
        <v>0</v>
      </c>
      <c r="G181">
        <f t="shared" ca="1" si="47"/>
        <v>69</v>
      </c>
      <c r="H181">
        <f t="shared" ca="1" si="54"/>
        <v>0</v>
      </c>
      <c r="I181">
        <f t="shared" ca="1" si="55"/>
        <v>0</v>
      </c>
      <c r="J181" s="353" t="s">
        <v>103</v>
      </c>
      <c r="K181" s="138" t="str">
        <f t="shared" ca="1" si="48"/>
        <v>1.8.0.0.69.</v>
      </c>
      <c r="L181" s="355" t="s">
        <v>236</v>
      </c>
      <c r="M181" s="355" t="s">
        <v>408</v>
      </c>
      <c r="N181" s="357" t="s">
        <v>586</v>
      </c>
      <c r="O181" s="358" t="s">
        <v>629</v>
      </c>
      <c r="P181" s="360">
        <v>56</v>
      </c>
      <c r="Q181" s="195"/>
      <c r="R181" s="198" t="s">
        <v>7</v>
      </c>
      <c r="S181" s="103">
        <f t="shared" si="59"/>
        <v>0</v>
      </c>
      <c r="T181" s="83">
        <f t="shared" si="60"/>
        <v>0</v>
      </c>
      <c r="U181" s="9" t="str">
        <f t="shared" si="51"/>
        <v>SEM VALOR</v>
      </c>
      <c r="V181" s="1" t="str">
        <f ca="1">IF(OR($A181=0,$A181="S",$A181&gt;CFF!$A$9),"",MAX(V$12:OFFSET(V181,-1,0))+1)</f>
        <v/>
      </c>
      <c r="W181" s="4" t="str">
        <f t="shared" si="52"/>
        <v>SINAPI-I-39602</v>
      </c>
      <c r="X181" s="1">
        <f t="shared" ca="1" si="61"/>
        <v>1422</v>
      </c>
      <c r="Y181" s="103">
        <v>2.06</v>
      </c>
      <c r="Z181" s="113">
        <f ca="1">ROUND(IF(ISNUMBER(R181),R181,IF(LEFT(R181,3)="BDI",HLOOKUP(R181,DADOS!$T$37:$X$38,2,FALSE),0)),15-11*$X$5)</f>
        <v>0.21390000000000001</v>
      </c>
      <c r="AA181" s="1"/>
    </row>
    <row r="182" spans="1:27" ht="25.5" x14ac:dyDescent="0.2">
      <c r="A182" t="str">
        <f t="shared" si="41"/>
        <v>S</v>
      </c>
      <c r="B182">
        <f t="shared" si="42"/>
        <v>0</v>
      </c>
      <c r="C182">
        <f t="shared" ca="1" si="43"/>
        <v>1</v>
      </c>
      <c r="D182">
        <f t="shared" ca="1" si="44"/>
        <v>8</v>
      </c>
      <c r="E182">
        <f t="shared" ca="1" si="45"/>
        <v>0</v>
      </c>
      <c r="F182">
        <f t="shared" ca="1" si="46"/>
        <v>0</v>
      </c>
      <c r="G182">
        <f t="shared" ca="1" si="47"/>
        <v>70</v>
      </c>
      <c r="H182">
        <f t="shared" ca="1" si="54"/>
        <v>0</v>
      </c>
      <c r="I182">
        <f t="shared" ca="1" si="55"/>
        <v>0</v>
      </c>
      <c r="J182" s="353" t="s">
        <v>103</v>
      </c>
      <c r="K182" s="138" t="str">
        <f t="shared" ca="1" si="48"/>
        <v>1.8.0.0.70.</v>
      </c>
      <c r="L182" s="355" t="s">
        <v>231</v>
      </c>
      <c r="M182" s="355" t="s">
        <v>409</v>
      </c>
      <c r="N182" s="357" t="s">
        <v>587</v>
      </c>
      <c r="O182" s="358" t="s">
        <v>632</v>
      </c>
      <c r="P182" s="360">
        <v>2200</v>
      </c>
      <c r="Q182" s="195"/>
      <c r="R182" s="198" t="s">
        <v>7</v>
      </c>
      <c r="S182" s="103">
        <f t="shared" si="59"/>
        <v>0</v>
      </c>
      <c r="T182" s="83">
        <f t="shared" si="60"/>
        <v>0</v>
      </c>
      <c r="U182" s="9" t="str">
        <f t="shared" si="51"/>
        <v>SEM VALOR</v>
      </c>
      <c r="V182" s="1" t="str">
        <f ca="1">IF(OR($A182=0,$A182="S",$A182&gt;CFF!$A$9),"",MAX(V$12:OFFSET(V182,-1,0))+1)</f>
        <v/>
      </c>
      <c r="W182" s="4" t="str">
        <f t="shared" si="52"/>
        <v>SINAPI-98295</v>
      </c>
      <c r="X182" s="1">
        <f t="shared" ca="1" si="61"/>
        <v>13490</v>
      </c>
      <c r="Y182" s="103">
        <v>7.39</v>
      </c>
      <c r="Z182" s="113">
        <f ca="1">ROUND(IF(ISNUMBER(R182),R182,IF(LEFT(R182,3)="BDI",HLOOKUP(R182,DADOS!$T$37:$X$38,2,FALSE),0)),15-11*$X$5)</f>
        <v>0.21390000000000001</v>
      </c>
      <c r="AA182" s="1"/>
    </row>
    <row r="183" spans="1:27" ht="25.5" x14ac:dyDescent="0.2">
      <c r="A183" t="str">
        <f t="shared" si="41"/>
        <v>S</v>
      </c>
      <c r="B183">
        <f t="shared" si="42"/>
        <v>0</v>
      </c>
      <c r="C183">
        <f t="shared" ca="1" si="43"/>
        <v>1</v>
      </c>
      <c r="D183">
        <f t="shared" ca="1" si="44"/>
        <v>8</v>
      </c>
      <c r="E183">
        <f t="shared" ca="1" si="45"/>
        <v>0</v>
      </c>
      <c r="F183">
        <f t="shared" ca="1" si="46"/>
        <v>0</v>
      </c>
      <c r="G183">
        <f t="shared" ca="1" si="47"/>
        <v>71</v>
      </c>
      <c r="H183">
        <f t="shared" ca="1" si="54"/>
        <v>0</v>
      </c>
      <c r="I183">
        <f t="shared" ca="1" si="55"/>
        <v>0</v>
      </c>
      <c r="J183" s="353" t="s">
        <v>103</v>
      </c>
      <c r="K183" s="138" t="str">
        <f t="shared" ca="1" si="48"/>
        <v>1.8.0.0.71.</v>
      </c>
      <c r="L183" s="355" t="s">
        <v>236</v>
      </c>
      <c r="M183" s="355" t="s">
        <v>410</v>
      </c>
      <c r="N183" s="357" t="s">
        <v>588</v>
      </c>
      <c r="O183" s="358" t="s">
        <v>629</v>
      </c>
      <c r="P183" s="360">
        <v>1</v>
      </c>
      <c r="Q183" s="195"/>
      <c r="R183" s="198" t="s">
        <v>7</v>
      </c>
      <c r="S183" s="103">
        <f t="shared" si="59"/>
        <v>0</v>
      </c>
      <c r="T183" s="83">
        <f t="shared" si="60"/>
        <v>0</v>
      </c>
      <c r="U183" s="9" t="str">
        <f t="shared" si="51"/>
        <v>SEM VALOR</v>
      </c>
      <c r="V183" s="1" t="str">
        <f ca="1">IF(OR($A183=0,$A183="S",$A183&gt;CFF!$A$9),"",MAX(V$12:OFFSET(V183,-1,0))+1)</f>
        <v/>
      </c>
      <c r="W183" s="4" t="str">
        <f t="shared" si="52"/>
        <v>SINAPI-I-39812</v>
      </c>
      <c r="X183" s="1">
        <f t="shared" ca="1" si="61"/>
        <v>992</v>
      </c>
      <c r="Y183" s="103">
        <v>78.680000000000007</v>
      </c>
      <c r="Z183" s="113">
        <f ca="1">ROUND(IF(ISNUMBER(R183),R183,IF(LEFT(R183,3)="BDI",HLOOKUP(R183,DADOS!$T$37:$X$38,2,FALSE),0)),15-11*$X$5)</f>
        <v>0.21390000000000001</v>
      </c>
      <c r="AA183" s="1"/>
    </row>
    <row r="184" spans="1:27" x14ac:dyDescent="0.2">
      <c r="A184" t="str">
        <f t="shared" si="41"/>
        <v>S</v>
      </c>
      <c r="B184">
        <f t="shared" si="42"/>
        <v>0</v>
      </c>
      <c r="C184">
        <f t="shared" ca="1" si="43"/>
        <v>1</v>
      </c>
      <c r="D184">
        <f t="shared" ca="1" si="44"/>
        <v>8</v>
      </c>
      <c r="E184">
        <f t="shared" ca="1" si="45"/>
        <v>0</v>
      </c>
      <c r="F184">
        <f t="shared" ca="1" si="46"/>
        <v>0</v>
      </c>
      <c r="G184">
        <f t="shared" ca="1" si="47"/>
        <v>72</v>
      </c>
      <c r="H184">
        <f t="shared" ca="1" si="54"/>
        <v>0</v>
      </c>
      <c r="I184">
        <f t="shared" ca="1" si="55"/>
        <v>0</v>
      </c>
      <c r="J184" s="353" t="s">
        <v>103</v>
      </c>
      <c r="K184" s="138" t="str">
        <f t="shared" ca="1" si="48"/>
        <v>1.8.0.0.72.</v>
      </c>
      <c r="L184" s="355" t="s">
        <v>237</v>
      </c>
      <c r="M184" s="355" t="s">
        <v>422</v>
      </c>
      <c r="N184" s="357" t="s">
        <v>589</v>
      </c>
      <c r="O184" s="358" t="s">
        <v>638</v>
      </c>
      <c r="P184" s="360">
        <v>1</v>
      </c>
      <c r="Q184" s="195"/>
      <c r="R184" s="198" t="s">
        <v>7</v>
      </c>
      <c r="S184" s="103">
        <f t="shared" si="59"/>
        <v>0</v>
      </c>
      <c r="T184" s="83">
        <f t="shared" si="60"/>
        <v>0</v>
      </c>
      <c r="U184" s="9" t="str">
        <f t="shared" si="51"/>
        <v>SEM VALOR</v>
      </c>
      <c r="V184" s="1" t="str">
        <f ca="1">IF(OR($A184=0,$A184="S",$A184&gt;CFF!$A$9),"",MAX(V$12:OFFSET(V184,-1,0))+1)</f>
        <v/>
      </c>
      <c r="W184" s="4" t="str">
        <f t="shared" si="52"/>
        <v>PM BENTO-155</v>
      </c>
      <c r="X184" s="1">
        <f t="shared" ca="1" si="61"/>
        <v>83</v>
      </c>
      <c r="Y184" s="103">
        <v>817.88</v>
      </c>
      <c r="Z184" s="113">
        <f ca="1">ROUND(IF(ISNUMBER(R184),R184,IF(LEFT(R184,3)="BDI",HLOOKUP(R184,DADOS!$T$37:$X$38,2,FALSE),0)),15-11*$X$5)</f>
        <v>0.21390000000000001</v>
      </c>
      <c r="AA184" s="1"/>
    </row>
    <row r="185" spans="1:27" x14ac:dyDescent="0.2">
      <c r="A185" t="str">
        <f t="shared" si="41"/>
        <v>S</v>
      </c>
      <c r="B185">
        <f t="shared" si="42"/>
        <v>0</v>
      </c>
      <c r="C185">
        <f t="shared" ca="1" si="43"/>
        <v>1</v>
      </c>
      <c r="D185">
        <f t="shared" ca="1" si="44"/>
        <v>8</v>
      </c>
      <c r="E185">
        <f t="shared" ca="1" si="45"/>
        <v>0</v>
      </c>
      <c r="F185">
        <f t="shared" ca="1" si="46"/>
        <v>0</v>
      </c>
      <c r="G185">
        <f t="shared" ca="1" si="47"/>
        <v>73</v>
      </c>
      <c r="H185">
        <f t="shared" ca="1" si="54"/>
        <v>0</v>
      </c>
      <c r="I185">
        <f t="shared" ca="1" si="55"/>
        <v>0</v>
      </c>
      <c r="J185" s="353" t="s">
        <v>103</v>
      </c>
      <c r="K185" s="138" t="str">
        <f t="shared" ca="1" si="48"/>
        <v>1.8.0.0.73.</v>
      </c>
      <c r="L185" s="355" t="s">
        <v>237</v>
      </c>
      <c r="M185" s="355" t="s">
        <v>423</v>
      </c>
      <c r="N185" s="357" t="s">
        <v>590</v>
      </c>
      <c r="O185" s="358" t="s">
        <v>638</v>
      </c>
      <c r="P185" s="360">
        <v>15</v>
      </c>
      <c r="Q185" s="195"/>
      <c r="R185" s="198" t="s">
        <v>7</v>
      </c>
      <c r="S185" s="103">
        <f t="shared" si="59"/>
        <v>0</v>
      </c>
      <c r="T185" s="83">
        <f t="shared" si="60"/>
        <v>0</v>
      </c>
      <c r="U185" s="9" t="str">
        <f t="shared" si="51"/>
        <v>SEM VALOR</v>
      </c>
      <c r="V185" s="1" t="str">
        <f ca="1">IF(OR($A185=0,$A185="S",$A185&gt;CFF!$A$9),"",MAX(V$12:OFFSET(V185,-1,0))+1)</f>
        <v/>
      </c>
      <c r="W185" s="4" t="str">
        <f t="shared" si="52"/>
        <v>PM BENTO-156</v>
      </c>
      <c r="X185" s="1">
        <f t="shared" ca="1" si="61"/>
        <v>84</v>
      </c>
      <c r="Y185" s="103">
        <v>67.099999999999994</v>
      </c>
      <c r="Z185" s="113">
        <f ca="1">ROUND(IF(ISNUMBER(R185),R185,IF(LEFT(R185,3)="BDI",HLOOKUP(R185,DADOS!$T$37:$X$38,2,FALSE),0)),15-11*$X$5)</f>
        <v>0.21390000000000001</v>
      </c>
      <c r="AA185" s="1"/>
    </row>
    <row r="186" spans="1:27" x14ac:dyDescent="0.2">
      <c r="A186" t="str">
        <f t="shared" si="41"/>
        <v>S</v>
      </c>
      <c r="B186">
        <f t="shared" si="42"/>
        <v>0</v>
      </c>
      <c r="C186">
        <f t="shared" ca="1" si="43"/>
        <v>1</v>
      </c>
      <c r="D186">
        <f t="shared" ca="1" si="44"/>
        <v>8</v>
      </c>
      <c r="E186">
        <f t="shared" ca="1" si="45"/>
        <v>0</v>
      </c>
      <c r="F186">
        <f t="shared" ca="1" si="46"/>
        <v>0</v>
      </c>
      <c r="G186">
        <f t="shared" ca="1" si="47"/>
        <v>74</v>
      </c>
      <c r="H186">
        <f t="shared" ca="1" si="54"/>
        <v>0</v>
      </c>
      <c r="I186">
        <f t="shared" ca="1" si="55"/>
        <v>0</v>
      </c>
      <c r="J186" s="353" t="s">
        <v>103</v>
      </c>
      <c r="K186" s="138" t="str">
        <f t="shared" ca="1" si="48"/>
        <v>1.8.0.0.74.</v>
      </c>
      <c r="L186" s="355" t="s">
        <v>231</v>
      </c>
      <c r="M186" s="355" t="s">
        <v>411</v>
      </c>
      <c r="N186" s="357" t="s">
        <v>591</v>
      </c>
      <c r="O186" s="358" t="s">
        <v>637</v>
      </c>
      <c r="P186" s="360">
        <v>40</v>
      </c>
      <c r="Q186" s="195"/>
      <c r="R186" s="198" t="s">
        <v>7</v>
      </c>
      <c r="S186" s="103">
        <f t="shared" si="59"/>
        <v>0</v>
      </c>
      <c r="T186" s="83">
        <f t="shared" si="60"/>
        <v>0</v>
      </c>
      <c r="U186" s="9" t="str">
        <f t="shared" si="51"/>
        <v>SEM VALOR</v>
      </c>
      <c r="V186" s="1" t="str">
        <f ca="1">IF(OR($A186=0,$A186="S",$A186&gt;CFF!$A$9),"",MAX(V$12:OFFSET(V186,-1,0))+1)</f>
        <v/>
      </c>
      <c r="W186" s="4" t="str">
        <f t="shared" si="52"/>
        <v>SINAPI-90777</v>
      </c>
      <c r="X186" s="1">
        <f t="shared" ca="1" si="61"/>
        <v>11921</v>
      </c>
      <c r="Y186" s="103">
        <v>156.54</v>
      </c>
      <c r="Z186" s="113">
        <f ca="1">ROUND(IF(ISNUMBER(R186),R186,IF(LEFT(R186,3)="BDI",HLOOKUP(R186,DADOS!$T$37:$X$38,2,FALSE),0)),15-11*$X$5)</f>
        <v>0.21390000000000001</v>
      </c>
      <c r="AA186" s="1"/>
    </row>
    <row r="187" spans="1:27" x14ac:dyDescent="0.2">
      <c r="A187">
        <f t="shared" ref="A187:A238" si="62">CHOOSE(1+LOG(1+2*(J187="Meta")+4*(J187="Nível 2")+8*(J187="Nível 3")+16*(J187="Nível 4")+32*(J187="Serviço"),2),0,1,2,3,4,"S")</f>
        <v>2</v>
      </c>
      <c r="B187">
        <f t="shared" ref="B187:B238" ca="1" si="63">IF(OR(A187="S",A187=0),0,IF(ISERROR(I187),H187,SMALL(H187:I187,1)))</f>
        <v>35</v>
      </c>
      <c r="C187">
        <f t="shared" ref="C187:C238" ca="1" si="64">IF($A187=1,OFFSET(C187,-1,0)+1,OFFSET(C187,-1,0))</f>
        <v>1</v>
      </c>
      <c r="D187">
        <f t="shared" ref="D187:D238" ca="1" si="65">IF($A187=1,0,IF($A187=2,OFFSET(D187,-1,0)+1,OFFSET(D187,-1,0)))</f>
        <v>9</v>
      </c>
      <c r="E187">
        <f t="shared" ref="E187:E238" ca="1" si="66">IF(AND($A187&lt;=2,$A187&lt;&gt;0),0,IF($A187=3,OFFSET(E187,-1,0)+1,OFFSET(E187,-1,0)))</f>
        <v>0</v>
      </c>
      <c r="F187">
        <f t="shared" ref="F187:F238" ca="1" si="67">IF(AND($A187&lt;=3,$A187&lt;&gt;0),0,IF($A187=4,OFFSET(F187,-1,0)+1,OFFSET(F187,-1,0)))</f>
        <v>0</v>
      </c>
      <c r="G187">
        <f t="shared" ref="G187:G238" ca="1" si="68">IF(AND($A187&lt;=4,$A187&lt;&gt;0),0,IF($A187="S",OFFSET(G187,-1,0)+1,OFFSET(G187,-1,0)))</f>
        <v>0</v>
      </c>
      <c r="H187">
        <f t="shared" ca="1" si="54"/>
        <v>55</v>
      </c>
      <c r="I187">
        <f t="shared" ca="1" si="55"/>
        <v>35</v>
      </c>
      <c r="J187" s="353" t="s">
        <v>100</v>
      </c>
      <c r="K187" s="138" t="str">
        <f t="shared" ref="K187:K238" ca="1" si="69">IF($A187=0,"-",CONCATENATE(C187&amp;".",IF(AND($A$5&gt;=2,$A187&gt;=2),D187&amp;".",""),IF(AND($A$5&gt;=3,$A187&gt;=3),E187&amp;".",""),IF(AND($A$5&gt;=4,$A187&gt;=4),F187&amp;".",""),IF($A187="S",G187&amp;".","")))</f>
        <v>1.9.</v>
      </c>
      <c r="L187" s="355"/>
      <c r="M187" s="355"/>
      <c r="N187" s="357" t="s">
        <v>308</v>
      </c>
      <c r="O187" s="358" t="s">
        <v>106</v>
      </c>
      <c r="P187" s="359"/>
      <c r="Q187" s="195"/>
      <c r="R187" s="198" t="s">
        <v>7</v>
      </c>
      <c r="S187" s="103">
        <f t="shared" ref="S187:S241" si="70">IF($A187="S",IF($Q$10="Preço Unitário (R$)",PO.CustoUnitario,ROUND(PO.CustoUnitario*(1+$Z187),15-13*$X$6)),0)</f>
        <v>0</v>
      </c>
      <c r="T187" s="83">
        <f t="shared" ref="T187:T241" ca="1" si="71">IF($A187="S",VTOTAL1,IF($A187=0,0,ROUND(SomaAgrup,15-13*$X$7)))</f>
        <v>0</v>
      </c>
      <c r="U187" s="9" t="str">
        <f t="shared" ref="U187:U238" ca="1" si="72">IF($J187="","",IF($N187="","DESCRIÇÃO",IF(AND($J187="Serviço",$O187=""),"UNIDADE",IF($T187&lt;=0,"SEM VALOR",IF(AND($Y187&lt;&gt;"",$Q187&gt;$Y187),"ACIMA REF.","")))))</f>
        <v>SEM VALOR</v>
      </c>
      <c r="V187" s="1" t="str">
        <f ca="1">IF(OR($A187=0,$A187="S",$A187&gt;CFF!$A$9),"",MAX(V$12:OFFSET(V187,-1,0))+1)</f>
        <v/>
      </c>
      <c r="W187" s="4" t="b">
        <f t="shared" ref="W187:W238" si="73">IF(AND($J187="Serviço",$M187&lt;&gt;""),IF($L187="",$M187,CONCATENATE($L187,"-",$M187)))</f>
        <v>0</v>
      </c>
      <c r="X187" s="1" t="str">
        <f t="shared" ref="X187:X241" ca="1" si="74">IF(AND(Fonte&lt;&gt;"",Código&lt;&gt;""),MATCH(Fonte&amp;" "&amp;IF(Fonte="sinapi",SUBSTITUTE(SUBSTITUTE(Código,"/00","/"),"/0","/"),Código),INDIRECT("'[Referência "&amp;_xlnm.Database&amp;".xls]Banco'!$a:$a"),0),"X")</f>
        <v>X</v>
      </c>
      <c r="Y187" s="103">
        <v>0</v>
      </c>
      <c r="Z187" s="113">
        <f ca="1">ROUND(IF(ISNUMBER(R187),R187,IF(LEFT(R187,3)="BDI",HLOOKUP(R187,DADOS!$T$37:$X$38,2,FALSE),0)),15-11*$X$5)</f>
        <v>0.21390000000000001</v>
      </c>
      <c r="AA187" s="1"/>
    </row>
    <row r="188" spans="1:27" x14ac:dyDescent="0.2">
      <c r="A188">
        <f>CHOOSE(1+LOG(1+2*(J188="Meta")+4*(J188="Nível 2")+8*(J188="Nível 3")+16*(J188="Nível 4")+32*(J188="Serviço"),2),0,1,2,3,4,"S")</f>
        <v>3</v>
      </c>
      <c r="B188">
        <f ca="1">IF(OR(A188="S",A188=0),0,IF(ISERROR(I188),H188,SMALL(H188:I188,1)))</f>
        <v>6</v>
      </c>
      <c r="C188">
        <f ca="1">IF($A188=1,OFFSET(C188,-1,0)+1,OFFSET(C188,-1,0))</f>
        <v>1</v>
      </c>
      <c r="D188">
        <f ca="1">IF($A188=1,0,IF($A188=2,OFFSET(D188,-1,0)+1,OFFSET(D188,-1,0)))</f>
        <v>9</v>
      </c>
      <c r="E188">
        <f ca="1">IF(AND($A188&lt;=2,$A188&lt;&gt;0),0,IF($A188=3,OFFSET(E188,-1,0)+1,OFFSET(E188,-1,0)))</f>
        <v>1</v>
      </c>
      <c r="F188">
        <f ca="1">IF(AND($A188&lt;=3,$A188&lt;&gt;0),0,IF($A188=4,OFFSET(F188,-1,0)+1,OFFSET(F188,-1,0)))</f>
        <v>0</v>
      </c>
      <c r="G188">
        <f ca="1">IF(AND($A188&lt;=4,$A188&lt;&gt;0),0,IF($A188="S",OFFSET(G188,-1,0)+1,OFFSET(G188,-1,0)))</f>
        <v>0</v>
      </c>
      <c r="H188">
        <f t="shared" ca="1" si="54"/>
        <v>34</v>
      </c>
      <c r="I188">
        <f t="shared" ca="1" si="55"/>
        <v>6</v>
      </c>
      <c r="J188" s="354" t="s">
        <v>101</v>
      </c>
      <c r="K188" s="138" t="str">
        <f ca="1">IF($A188=0,"-",CONCATENATE(C188&amp;".",IF(AND($A$5&gt;=2,$A188&gt;=2),D188&amp;".",""),IF(AND($A$5&gt;=3,$A188&gt;=3),E188&amp;".",""),IF(AND($A$5&gt;=4,$A188&gt;=4),F188&amp;".",""),IF($A188="S",G188&amp;".","")))</f>
        <v>1.9.1.</v>
      </c>
      <c r="L188" s="355"/>
      <c r="M188" s="355"/>
      <c r="N188" s="357" t="s">
        <v>451</v>
      </c>
      <c r="O188" s="358" t="s">
        <v>106</v>
      </c>
      <c r="P188" s="359"/>
      <c r="Q188" s="195"/>
      <c r="R188" s="198" t="s">
        <v>7</v>
      </c>
      <c r="S188" s="103">
        <f>IF($A188="S",IF($Q$10="Preço Unitário (R$)",PO.CustoUnitario,ROUND(PO.CustoUnitario*(1+$Z188),15-13*$X$6)),0)</f>
        <v>0</v>
      </c>
      <c r="T188" s="83">
        <f ca="1">IF($A188="S",VTOTAL1,IF($A188=0,0,ROUND(SomaAgrup,15-13*$X$7)))</f>
        <v>0</v>
      </c>
      <c r="U188" s="9" t="str">
        <f ca="1">IF($J188="","",IF($N188="","DESCRIÇÃO",IF(AND($J188="Serviço",$O188=""),"UNIDADE",IF($T188&lt;=0,"SEM VALOR",IF(AND($Y188&lt;&gt;"",$Q188&gt;$Y188),"ACIMA REF.","")))))</f>
        <v>SEM VALOR</v>
      </c>
      <c r="V188" s="1" t="str">
        <f ca="1">IF(OR($A188=0,$A188="S",$A188&gt;CFF!$A$9),"",MAX(V$12:OFFSET(V188,-1,0))+1)</f>
        <v/>
      </c>
      <c r="W188" s="4" t="b">
        <f>IF(AND($J188="Serviço",$M188&lt;&gt;""),IF($L188="",$M188,CONCATENATE($L188,"-",$M188)))</f>
        <v>0</v>
      </c>
      <c r="X188" s="1" t="str">
        <f ca="1">IF(AND(Fonte&lt;&gt;"",Código&lt;&gt;""),MATCH(Fonte&amp;" "&amp;IF(Fonte="sinapi",SUBSTITUTE(SUBSTITUTE(Código,"/00","/"),"/0","/"),Código),INDIRECT("'[Referência "&amp;_xlnm.Database&amp;".xls]Banco'!$a:$a"),0),"X")</f>
        <v>X</v>
      </c>
      <c r="Y188" s="103">
        <v>0</v>
      </c>
      <c r="Z188" s="113">
        <f ca="1">ROUND(IF(ISNUMBER(R188),R188,IF(LEFT(R188,3)="BDI",HLOOKUP(R188,DADOS!$T$37:$X$38,2,FALSE),0)),15-11*$X$5)</f>
        <v>0.21390000000000001</v>
      </c>
      <c r="AA188" s="1"/>
    </row>
    <row r="189" spans="1:27" x14ac:dyDescent="0.2">
      <c r="A189" t="str">
        <f t="shared" si="62"/>
        <v>S</v>
      </c>
      <c r="B189">
        <f t="shared" si="63"/>
        <v>0</v>
      </c>
      <c r="C189">
        <f t="shared" ca="1" si="64"/>
        <v>1</v>
      </c>
      <c r="D189">
        <f t="shared" ca="1" si="65"/>
        <v>9</v>
      </c>
      <c r="E189">
        <f t="shared" ca="1" si="66"/>
        <v>1</v>
      </c>
      <c r="F189">
        <f t="shared" ca="1" si="67"/>
        <v>0</v>
      </c>
      <c r="G189">
        <f t="shared" ca="1" si="68"/>
        <v>1</v>
      </c>
      <c r="H189">
        <f t="shared" ca="1" si="54"/>
        <v>0</v>
      </c>
      <c r="I189">
        <f t="shared" ca="1" si="55"/>
        <v>0</v>
      </c>
      <c r="J189" s="354" t="s">
        <v>103</v>
      </c>
      <c r="K189" s="138" t="str">
        <f t="shared" ca="1" si="69"/>
        <v>1.9.1.0.1.</v>
      </c>
      <c r="L189" s="356" t="s">
        <v>237</v>
      </c>
      <c r="M189" s="356" t="s">
        <v>342</v>
      </c>
      <c r="N189" s="357" t="s">
        <v>592</v>
      </c>
      <c r="O189" s="358" t="s">
        <v>628</v>
      </c>
      <c r="P189" s="359">
        <f>2*2*0.7</f>
        <v>2.8</v>
      </c>
      <c r="Q189" s="195"/>
      <c r="R189" s="198" t="s">
        <v>7</v>
      </c>
      <c r="S189" s="103">
        <f t="shared" si="70"/>
        <v>0</v>
      </c>
      <c r="T189" s="83">
        <f t="shared" si="71"/>
        <v>0</v>
      </c>
      <c r="U189" s="9" t="str">
        <f t="shared" si="72"/>
        <v>SEM VALOR</v>
      </c>
      <c r="V189" s="1" t="str">
        <f ca="1">IF(OR($A189=0,$A189="S",$A189&gt;CFF!$A$9),"",MAX(V$12:OFFSET(V189,-1,0))+1)</f>
        <v/>
      </c>
      <c r="W189" s="4" t="str">
        <f t="shared" si="73"/>
        <v>PM BENTO-110</v>
      </c>
      <c r="X189" s="1">
        <f t="shared" ca="1" si="74"/>
        <v>28</v>
      </c>
      <c r="Y189" s="103">
        <v>86.16</v>
      </c>
      <c r="Z189" s="113">
        <f ca="1">ROUND(IF(ISNUMBER(R189),R189,IF(LEFT(R189,3)="BDI",HLOOKUP(R189,DADOS!$T$37:$X$38,2,FALSE),0)),15-11*$X$5)</f>
        <v>0.21390000000000001</v>
      </c>
      <c r="AA189" s="1"/>
    </row>
    <row r="190" spans="1:27" x14ac:dyDescent="0.2">
      <c r="A190" t="str">
        <f t="shared" si="62"/>
        <v>S</v>
      </c>
      <c r="B190">
        <f t="shared" si="63"/>
        <v>0</v>
      </c>
      <c r="C190">
        <f t="shared" ca="1" si="64"/>
        <v>1</v>
      </c>
      <c r="D190">
        <f t="shared" ca="1" si="65"/>
        <v>9</v>
      </c>
      <c r="E190">
        <f t="shared" ca="1" si="66"/>
        <v>1</v>
      </c>
      <c r="F190">
        <f t="shared" ca="1" si="67"/>
        <v>0</v>
      </c>
      <c r="G190">
        <f t="shared" ca="1" si="68"/>
        <v>2</v>
      </c>
      <c r="H190">
        <f t="shared" ca="1" si="54"/>
        <v>0</v>
      </c>
      <c r="I190">
        <f t="shared" ca="1" si="55"/>
        <v>0</v>
      </c>
      <c r="J190" s="354" t="s">
        <v>103</v>
      </c>
      <c r="K190" s="138" t="str">
        <f t="shared" ca="1" si="69"/>
        <v>1.9.1.0.2.</v>
      </c>
      <c r="L190" s="356" t="s">
        <v>231</v>
      </c>
      <c r="M190" s="356" t="s">
        <v>309</v>
      </c>
      <c r="N190" s="357" t="s">
        <v>593</v>
      </c>
      <c r="O190" s="358" t="s">
        <v>628</v>
      </c>
      <c r="P190" s="359">
        <f>15.36/2*2</f>
        <v>15.36</v>
      </c>
      <c r="Q190" s="195"/>
      <c r="R190" s="198" t="s">
        <v>7</v>
      </c>
      <c r="S190" s="103">
        <f t="shared" si="70"/>
        <v>0</v>
      </c>
      <c r="T190" s="83">
        <f t="shared" si="71"/>
        <v>0</v>
      </c>
      <c r="U190" s="9" t="str">
        <f t="shared" si="72"/>
        <v>SEM VALOR</v>
      </c>
      <c r="V190" s="1" t="str">
        <f ca="1">IF(OR($A190=0,$A190="S",$A190&gt;CFF!$A$9),"",MAX(V$12:OFFSET(V190,-1,0))+1)</f>
        <v/>
      </c>
      <c r="W190" s="4" t="str">
        <f t="shared" si="73"/>
        <v>SINAPI-97644</v>
      </c>
      <c r="X190" s="1">
        <f t="shared" ca="1" si="74"/>
        <v>6795</v>
      </c>
      <c r="Y190" s="103">
        <v>12.38</v>
      </c>
      <c r="Z190" s="113">
        <f ca="1">ROUND(IF(ISNUMBER(R190),R190,IF(LEFT(R190,3)="BDI",HLOOKUP(R190,DADOS!$T$37:$X$38,2,FALSE),0)),15-11*$X$5)</f>
        <v>0.21390000000000001</v>
      </c>
      <c r="AA190" s="1"/>
    </row>
    <row r="191" spans="1:27" x14ac:dyDescent="0.2">
      <c r="A191" t="str">
        <f t="shared" si="62"/>
        <v>S</v>
      </c>
      <c r="B191">
        <f t="shared" si="63"/>
        <v>0</v>
      </c>
      <c r="C191">
        <f t="shared" ca="1" si="64"/>
        <v>1</v>
      </c>
      <c r="D191">
        <f t="shared" ca="1" si="65"/>
        <v>9</v>
      </c>
      <c r="E191">
        <f t="shared" ca="1" si="66"/>
        <v>1</v>
      </c>
      <c r="F191">
        <f t="shared" ca="1" si="67"/>
        <v>0</v>
      </c>
      <c r="G191">
        <f t="shared" ca="1" si="68"/>
        <v>3</v>
      </c>
      <c r="H191">
        <f t="shared" ca="1" si="54"/>
        <v>0</v>
      </c>
      <c r="I191">
        <f t="shared" ca="1" si="55"/>
        <v>0</v>
      </c>
      <c r="J191" s="354" t="s">
        <v>103</v>
      </c>
      <c r="K191" s="138" t="str">
        <f t="shared" ca="1" si="69"/>
        <v>1.9.1.0.3.</v>
      </c>
      <c r="L191" s="355" t="s">
        <v>231</v>
      </c>
      <c r="M191" s="355" t="s">
        <v>328</v>
      </c>
      <c r="N191" s="357" t="s">
        <v>331</v>
      </c>
      <c r="O191" s="358" t="s">
        <v>629</v>
      </c>
      <c r="P191" s="359">
        <f>8/2*2</f>
        <v>8</v>
      </c>
      <c r="Q191" s="195"/>
      <c r="R191" s="198" t="s">
        <v>7</v>
      </c>
      <c r="S191" s="103">
        <f t="shared" si="70"/>
        <v>0</v>
      </c>
      <c r="T191" s="83">
        <f t="shared" si="71"/>
        <v>0</v>
      </c>
      <c r="U191" s="9" t="str">
        <f t="shared" si="72"/>
        <v>SEM VALOR</v>
      </c>
      <c r="V191" s="1" t="str">
        <f ca="1">IF(OR($A191=0,$A191="S",$A191&gt;CFF!$A$9),"",MAX(V$12:OFFSET(V191,-1,0))+1)</f>
        <v/>
      </c>
      <c r="W191" s="4" t="str">
        <f t="shared" si="73"/>
        <v>SINAPI-97663</v>
      </c>
      <c r="X191" s="1">
        <f t="shared" ca="1" si="74"/>
        <v>6788</v>
      </c>
      <c r="Y191" s="103">
        <v>16.7</v>
      </c>
      <c r="Z191" s="113">
        <f ca="1">ROUND(IF(ISNUMBER(R191),R191,IF(LEFT(R191,3)="BDI",HLOOKUP(R191,DADOS!$T$37:$X$38,2,FALSE),0)),15-11*$X$5)</f>
        <v>0.21390000000000001</v>
      </c>
      <c r="AA191" s="1"/>
    </row>
    <row r="192" spans="1:27" x14ac:dyDescent="0.2">
      <c r="A192" t="str">
        <f t="shared" si="62"/>
        <v>S</v>
      </c>
      <c r="B192">
        <f t="shared" si="63"/>
        <v>0</v>
      </c>
      <c r="C192">
        <f t="shared" ca="1" si="64"/>
        <v>1</v>
      </c>
      <c r="D192">
        <f t="shared" ca="1" si="65"/>
        <v>9</v>
      </c>
      <c r="E192">
        <f t="shared" ca="1" si="66"/>
        <v>1</v>
      </c>
      <c r="F192">
        <f t="shared" ca="1" si="67"/>
        <v>0</v>
      </c>
      <c r="G192">
        <f t="shared" ca="1" si="68"/>
        <v>4</v>
      </c>
      <c r="H192">
        <f t="shared" ca="1" si="54"/>
        <v>0</v>
      </c>
      <c r="I192">
        <f t="shared" ca="1" si="55"/>
        <v>0</v>
      </c>
      <c r="J192" s="354" t="s">
        <v>103</v>
      </c>
      <c r="K192" s="138" t="str">
        <f t="shared" ca="1" si="69"/>
        <v>1.9.1.0.4.</v>
      </c>
      <c r="L192" s="355" t="s">
        <v>237</v>
      </c>
      <c r="M192" s="355" t="s">
        <v>333</v>
      </c>
      <c r="N192" s="357" t="s">
        <v>594</v>
      </c>
      <c r="O192" s="358" t="s">
        <v>628</v>
      </c>
      <c r="P192" s="359">
        <f>4.08/2*2</f>
        <v>4.08</v>
      </c>
      <c r="Q192" s="195"/>
      <c r="R192" s="198" t="s">
        <v>7</v>
      </c>
      <c r="S192" s="103">
        <f t="shared" si="70"/>
        <v>0</v>
      </c>
      <c r="T192" s="83">
        <f t="shared" si="71"/>
        <v>0</v>
      </c>
      <c r="U192" s="9" t="str">
        <f t="shared" si="72"/>
        <v>SEM VALOR</v>
      </c>
      <c r="V192" s="1" t="str">
        <f ca="1">IF(OR($A192=0,$A192="S",$A192&gt;CFF!$A$9),"",MAX(V$12:OFFSET(V192,-1,0))+1)</f>
        <v/>
      </c>
      <c r="W192" s="4" t="str">
        <f t="shared" si="73"/>
        <v>PM BENTO-159</v>
      </c>
      <c r="X192" s="1">
        <f t="shared" ca="1" si="74"/>
        <v>87</v>
      </c>
      <c r="Y192" s="103">
        <v>273.05</v>
      </c>
      <c r="Z192" s="113">
        <f ca="1">ROUND(IF(ISNUMBER(R192),R192,IF(LEFT(R192,3)="BDI",HLOOKUP(R192,DADOS!$T$37:$X$38,2,FALSE),0)),15-11*$X$5)</f>
        <v>0.21390000000000001</v>
      </c>
      <c r="AA192" s="1"/>
    </row>
    <row r="193" spans="1:27" x14ac:dyDescent="0.2">
      <c r="A193" t="str">
        <f>CHOOSE(1+LOG(1+2*(J193="Meta")+4*(J193="Nível 2")+8*(J193="Nível 3")+16*(J193="Nível 4")+32*(J193="Serviço"),2),0,1,2,3,4,"S")</f>
        <v>S</v>
      </c>
      <c r="B193">
        <f>IF(OR(A193="S",A193=0),0,IF(ISERROR(I193),H193,SMALL(H193:I193,1)))</f>
        <v>0</v>
      </c>
      <c r="C193">
        <f ca="1">IF($A193=1,OFFSET(C193,-1,0)+1,OFFSET(C193,-1,0))</f>
        <v>1</v>
      </c>
      <c r="D193">
        <f ca="1">IF($A193=1,0,IF($A193=2,OFFSET(D193,-1,0)+1,OFFSET(D193,-1,0)))</f>
        <v>9</v>
      </c>
      <c r="E193">
        <f ca="1">IF(AND($A193&lt;=2,$A193&lt;&gt;0),0,IF($A193=3,OFFSET(E193,-1,0)+1,OFFSET(E193,-1,0)))</f>
        <v>1</v>
      </c>
      <c r="F193">
        <f ca="1">IF(AND($A193&lt;=3,$A193&lt;&gt;0),0,IF($A193=4,OFFSET(F193,-1,0)+1,OFFSET(F193,-1,0)))</f>
        <v>0</v>
      </c>
      <c r="G193">
        <f ca="1">IF(AND($A193&lt;=4,$A193&lt;&gt;0),0,IF($A193="S",OFFSET(G193,-1,0)+1,OFFSET(G193,-1,0)))</f>
        <v>5</v>
      </c>
      <c r="H193">
        <f t="shared" ca="1" si="54"/>
        <v>0</v>
      </c>
      <c r="I193">
        <f t="shared" ca="1" si="55"/>
        <v>0</v>
      </c>
      <c r="J193" s="353" t="s">
        <v>103</v>
      </c>
      <c r="K193" s="138" t="str">
        <f ca="1">IF($A193=0,"-",CONCATENATE(C193&amp;".",IF(AND($A$5&gt;=2,$A193&gt;=2),D193&amp;".",""),IF(AND($A$5&gt;=3,$A193&gt;=3),E193&amp;".",""),IF(AND($A$5&gt;=4,$A193&gt;=4),F193&amp;".",""),IF($A193="S",G193&amp;".","")))</f>
        <v>1.9.1.0.5.</v>
      </c>
      <c r="L193" s="356" t="s">
        <v>231</v>
      </c>
      <c r="M193" s="356" t="s">
        <v>313</v>
      </c>
      <c r="N193" s="357" t="s">
        <v>595</v>
      </c>
      <c r="O193" s="358" t="s">
        <v>628</v>
      </c>
      <c r="P193" s="359">
        <f>124.92/2*2</f>
        <v>124.92</v>
      </c>
      <c r="Q193" s="195"/>
      <c r="R193" s="198" t="s">
        <v>7</v>
      </c>
      <c r="S193" s="103">
        <f>IF($A193="S",IF($Q$10="Preço Unitário (R$)",PO.CustoUnitario,ROUND(PO.CustoUnitario*(1+$Z193),15-13*$X$6)),0)</f>
        <v>0</v>
      </c>
      <c r="T193" s="83">
        <f>IF($A193="S",VTOTAL1,IF($A193=0,0,ROUND(SomaAgrup,15-13*$X$7)))</f>
        <v>0</v>
      </c>
      <c r="U193" s="9" t="str">
        <f>IF($J193="","",IF($N193="","DESCRIÇÃO",IF(AND($J193="Serviço",$O193=""),"UNIDADE",IF($T193&lt;=0,"SEM VALOR",IF(AND($Y193&lt;&gt;"",$Q193&gt;$Y193),"ACIMA REF.","")))))</f>
        <v>SEM VALOR</v>
      </c>
      <c r="V193" s="1" t="str">
        <f ca="1">IF(OR($A193=0,$A193="S",$A193&gt;CFF!$A$9),"",MAX(V$12:OFFSET(V193,-1,0))+1)</f>
        <v/>
      </c>
      <c r="W193" s="4" t="str">
        <f>IF(AND($J193="Serviço",$M193&lt;&gt;""),IF($L193="",$M193,CONCATENATE($L193,"-",$M193)))</f>
        <v>SINAPI-97633</v>
      </c>
      <c r="X193" s="1">
        <f ca="1">IF(AND(Fonte&lt;&gt;"",Código&lt;&gt;""),MATCH(Fonte&amp;" "&amp;IF(Fonte="sinapi",SUBSTITUTE(SUBSTITUTE(Código,"/00","/"),"/0","/"),Código),INDIRECT("'[Referência "&amp;_xlnm.Database&amp;".xls]Banco'!$a:$a"),0),"X")</f>
        <v>6769</v>
      </c>
      <c r="Y193" s="103">
        <v>29.64</v>
      </c>
      <c r="Z193" s="113">
        <f ca="1">ROUND(IF(ISNUMBER(R193),R193,IF(LEFT(R193,3)="BDI",HLOOKUP(R193,DADOS!$T$37:$X$38,2,FALSE),0)),15-11*$X$5)</f>
        <v>0.21390000000000001</v>
      </c>
      <c r="AA193" s="1"/>
    </row>
    <row r="194" spans="1:27" x14ac:dyDescent="0.2">
      <c r="A194">
        <f t="shared" si="62"/>
        <v>3</v>
      </c>
      <c r="B194">
        <f t="shared" ca="1" si="63"/>
        <v>7</v>
      </c>
      <c r="C194">
        <f t="shared" ca="1" si="64"/>
        <v>1</v>
      </c>
      <c r="D194">
        <f t="shared" ca="1" si="65"/>
        <v>9</v>
      </c>
      <c r="E194">
        <f t="shared" ca="1" si="66"/>
        <v>2</v>
      </c>
      <c r="F194">
        <f t="shared" ca="1" si="67"/>
        <v>0</v>
      </c>
      <c r="G194">
        <f t="shared" ca="1" si="68"/>
        <v>0</v>
      </c>
      <c r="H194">
        <f t="shared" ca="1" si="54"/>
        <v>28</v>
      </c>
      <c r="I194">
        <f t="shared" ca="1" si="55"/>
        <v>7</v>
      </c>
      <c r="J194" s="354" t="s">
        <v>101</v>
      </c>
      <c r="K194" s="138" t="str">
        <f t="shared" ca="1" si="69"/>
        <v>1.9.2.</v>
      </c>
      <c r="L194" s="355" t="s">
        <v>261</v>
      </c>
      <c r="M194" s="355"/>
      <c r="N194" s="357" t="s">
        <v>452</v>
      </c>
      <c r="O194" s="358" t="s">
        <v>106</v>
      </c>
      <c r="P194" s="359"/>
      <c r="Q194" s="195"/>
      <c r="R194" s="198" t="s">
        <v>7</v>
      </c>
      <c r="S194" s="103">
        <f t="shared" si="70"/>
        <v>0</v>
      </c>
      <c r="T194" s="83">
        <f t="shared" ca="1" si="71"/>
        <v>0</v>
      </c>
      <c r="U194" s="9" t="str">
        <f t="shared" ca="1" si="72"/>
        <v>SEM VALOR</v>
      </c>
      <c r="V194" s="1" t="str">
        <f ca="1">IF(OR($A194=0,$A194="S",$A194&gt;CFF!$A$9),"",MAX(V$12:OFFSET(V194,-1,0))+1)</f>
        <v/>
      </c>
      <c r="W194" s="4" t="b">
        <f t="shared" si="73"/>
        <v>0</v>
      </c>
      <c r="X194" s="1" t="str">
        <f t="shared" ca="1" si="74"/>
        <v>X</v>
      </c>
      <c r="Y194" s="103">
        <v>0</v>
      </c>
      <c r="Z194" s="113">
        <f ca="1">ROUND(IF(ISNUMBER(R194),R194,IF(LEFT(R194,3)="BDI",HLOOKUP(R194,DADOS!$T$37:$X$38,2,FALSE),0)),15-11*$X$5)</f>
        <v>0.21390000000000001</v>
      </c>
      <c r="AA194" s="1"/>
    </row>
    <row r="195" spans="1:27" x14ac:dyDescent="0.2">
      <c r="A195" t="str">
        <f t="shared" si="62"/>
        <v>S</v>
      </c>
      <c r="B195">
        <f t="shared" si="63"/>
        <v>0</v>
      </c>
      <c r="C195">
        <f t="shared" ca="1" si="64"/>
        <v>1</v>
      </c>
      <c r="D195">
        <f t="shared" ca="1" si="65"/>
        <v>9</v>
      </c>
      <c r="E195">
        <f t="shared" ca="1" si="66"/>
        <v>2</v>
      </c>
      <c r="F195">
        <f t="shared" ca="1" si="67"/>
        <v>0</v>
      </c>
      <c r="G195">
        <f t="shared" ca="1" si="68"/>
        <v>1</v>
      </c>
      <c r="H195">
        <f t="shared" ca="1" si="54"/>
        <v>0</v>
      </c>
      <c r="I195">
        <f t="shared" ca="1" si="55"/>
        <v>0</v>
      </c>
      <c r="J195" s="354" t="s">
        <v>103</v>
      </c>
      <c r="K195" s="138" t="str">
        <f t="shared" ca="1" si="69"/>
        <v>1.9.2.0.1.</v>
      </c>
      <c r="L195" s="356" t="s">
        <v>237</v>
      </c>
      <c r="M195" s="356" t="s">
        <v>343</v>
      </c>
      <c r="N195" s="357" t="s">
        <v>596</v>
      </c>
      <c r="O195" s="358" t="s">
        <v>628</v>
      </c>
      <c r="P195" s="359">
        <f>P189</f>
        <v>2.8</v>
      </c>
      <c r="Q195" s="195"/>
      <c r="R195" s="198" t="s">
        <v>7</v>
      </c>
      <c r="S195" s="103">
        <f t="shared" si="70"/>
        <v>0</v>
      </c>
      <c r="T195" s="83">
        <f t="shared" si="71"/>
        <v>0</v>
      </c>
      <c r="U195" s="9" t="str">
        <f t="shared" si="72"/>
        <v>SEM VALOR</v>
      </c>
      <c r="V195" s="1" t="str">
        <f ca="1">IF(OR($A195=0,$A195="S",$A195&gt;CFF!$A$9),"",MAX(V$12:OFFSET(V195,-1,0))+1)</f>
        <v/>
      </c>
      <c r="W195" s="4" t="str">
        <f t="shared" si="73"/>
        <v>PM BENTO-108</v>
      </c>
      <c r="X195" s="1">
        <f t="shared" ca="1" si="74"/>
        <v>26</v>
      </c>
      <c r="Y195" s="103">
        <v>264.33999999999997</v>
      </c>
      <c r="Z195" s="113">
        <f ca="1">ROUND(IF(ISNUMBER(R195),R195,IF(LEFT(R195,3)="BDI",HLOOKUP(R195,DADOS!$T$37:$X$38,2,FALSE),0)),15-11*$X$5)</f>
        <v>0.21390000000000001</v>
      </c>
      <c r="AA195" s="1"/>
    </row>
    <row r="196" spans="1:27" ht="38.25" x14ac:dyDescent="0.2">
      <c r="A196" t="str">
        <f t="shared" si="62"/>
        <v>S</v>
      </c>
      <c r="B196">
        <f t="shared" si="63"/>
        <v>0</v>
      </c>
      <c r="C196">
        <f t="shared" ca="1" si="64"/>
        <v>1</v>
      </c>
      <c r="D196">
        <f t="shared" ca="1" si="65"/>
        <v>9</v>
      </c>
      <c r="E196">
        <f t="shared" ca="1" si="66"/>
        <v>2</v>
      </c>
      <c r="F196">
        <f t="shared" ca="1" si="67"/>
        <v>0</v>
      </c>
      <c r="G196">
        <f t="shared" ca="1" si="68"/>
        <v>2</v>
      </c>
      <c r="H196">
        <f t="shared" ca="1" si="54"/>
        <v>0</v>
      </c>
      <c r="I196">
        <f t="shared" ca="1" si="55"/>
        <v>0</v>
      </c>
      <c r="J196" s="354" t="s">
        <v>103</v>
      </c>
      <c r="K196" s="138" t="str">
        <f t="shared" ca="1" si="69"/>
        <v>1.9.2.0.2.</v>
      </c>
      <c r="L196" s="356" t="s">
        <v>231</v>
      </c>
      <c r="M196" s="356" t="s">
        <v>310</v>
      </c>
      <c r="N196" s="357" t="s">
        <v>597</v>
      </c>
      <c r="O196" s="358" t="s">
        <v>629</v>
      </c>
      <c r="P196" s="359">
        <f>4/2*2</f>
        <v>4</v>
      </c>
      <c r="Q196" s="195"/>
      <c r="R196" s="198" t="s">
        <v>7</v>
      </c>
      <c r="S196" s="103">
        <f t="shared" si="70"/>
        <v>0</v>
      </c>
      <c r="T196" s="83">
        <f t="shared" si="71"/>
        <v>0</v>
      </c>
      <c r="U196" s="9" t="str">
        <f t="shared" si="72"/>
        <v>SEM VALOR</v>
      </c>
      <c r="V196" s="1" t="str">
        <f ca="1">IF(OR($A196=0,$A196="S",$A196&gt;CFF!$A$9),"",MAX(V$12:OFFSET(V196,-1,0))+1)</f>
        <v/>
      </c>
      <c r="W196" s="4" t="str">
        <f t="shared" ref="W196:W198" si="75">IF(AND($J196="Serviço",$M196&lt;&gt;""),IF($L196="",$M196,CONCATENATE($L196,"-",$M196)))</f>
        <v>SINAPI-90843</v>
      </c>
      <c r="X196" s="1">
        <f t="shared" ca="1" si="74"/>
        <v>8394</v>
      </c>
      <c r="Y196" s="103">
        <v>1631.62</v>
      </c>
      <c r="Z196" s="113">
        <f ca="1">ROUND(IF(ISNUMBER(R196),R196,IF(LEFT(R196,3)="BDI",HLOOKUP(R196,DADOS!$T$37:$X$38,2,FALSE),0)),15-11*$X$5)</f>
        <v>0.21390000000000001</v>
      </c>
      <c r="AA196" s="1"/>
    </row>
    <row r="197" spans="1:27" ht="38.25" x14ac:dyDescent="0.2">
      <c r="A197" t="str">
        <f t="shared" si="62"/>
        <v>S</v>
      </c>
      <c r="B197">
        <f t="shared" si="63"/>
        <v>0</v>
      </c>
      <c r="C197">
        <f t="shared" ca="1" si="64"/>
        <v>1</v>
      </c>
      <c r="D197">
        <f t="shared" ca="1" si="65"/>
        <v>9</v>
      </c>
      <c r="E197">
        <f t="shared" ca="1" si="66"/>
        <v>2</v>
      </c>
      <c r="F197">
        <f t="shared" ca="1" si="67"/>
        <v>0</v>
      </c>
      <c r="G197">
        <f t="shared" ca="1" si="68"/>
        <v>3</v>
      </c>
      <c r="H197">
        <f t="shared" ca="1" si="54"/>
        <v>0</v>
      </c>
      <c r="I197">
        <f t="shared" ca="1" si="55"/>
        <v>0</v>
      </c>
      <c r="J197" s="354" t="s">
        <v>103</v>
      </c>
      <c r="K197" s="138" t="str">
        <f t="shared" ca="1" si="69"/>
        <v>1.9.2.0.3.</v>
      </c>
      <c r="L197" s="356" t="s">
        <v>231</v>
      </c>
      <c r="M197" s="356" t="s">
        <v>311</v>
      </c>
      <c r="N197" s="357" t="s">
        <v>598</v>
      </c>
      <c r="O197" s="358" t="s">
        <v>629</v>
      </c>
      <c r="P197" s="359">
        <f>8/2*2</f>
        <v>8</v>
      </c>
      <c r="Q197" s="195"/>
      <c r="R197" s="198" t="s">
        <v>7</v>
      </c>
      <c r="S197" s="103">
        <f t="shared" si="70"/>
        <v>0</v>
      </c>
      <c r="T197" s="83">
        <f t="shared" si="71"/>
        <v>0</v>
      </c>
      <c r="U197" s="9" t="str">
        <f t="shared" si="72"/>
        <v>SEM VALOR</v>
      </c>
      <c r="V197" s="1" t="str">
        <f ca="1">IF(OR($A197=0,$A197="S",$A197&gt;CFF!$A$9),"",MAX(V$12:OFFSET(V197,-1,0))+1)</f>
        <v/>
      </c>
      <c r="W197" s="4" t="str">
        <f t="shared" si="75"/>
        <v>SINAPI-90841</v>
      </c>
      <c r="X197" s="1">
        <f t="shared" ca="1" si="74"/>
        <v>8390</v>
      </c>
      <c r="Y197" s="103">
        <v>1553.99</v>
      </c>
      <c r="Z197" s="113">
        <f ca="1">ROUND(IF(ISNUMBER(R197),R197,IF(LEFT(R197,3)="BDI",HLOOKUP(R197,DADOS!$T$37:$X$38,2,FALSE),0)),15-11*$X$5)</f>
        <v>0.21390000000000001</v>
      </c>
      <c r="AA197" s="1"/>
    </row>
    <row r="198" spans="1:27" x14ac:dyDescent="0.2">
      <c r="A198" t="str">
        <f t="shared" si="62"/>
        <v>S</v>
      </c>
      <c r="B198">
        <f t="shared" si="63"/>
        <v>0</v>
      </c>
      <c r="C198">
        <f t="shared" ca="1" si="64"/>
        <v>1</v>
      </c>
      <c r="D198">
        <f t="shared" ca="1" si="65"/>
        <v>9</v>
      </c>
      <c r="E198">
        <f t="shared" ca="1" si="66"/>
        <v>2</v>
      </c>
      <c r="F198">
        <f t="shared" ca="1" si="67"/>
        <v>0</v>
      </c>
      <c r="G198">
        <f t="shared" ca="1" si="68"/>
        <v>4</v>
      </c>
      <c r="H198">
        <f t="shared" ca="1" si="54"/>
        <v>0</v>
      </c>
      <c r="I198">
        <f t="shared" ca="1" si="55"/>
        <v>0</v>
      </c>
      <c r="J198" s="354" t="s">
        <v>103</v>
      </c>
      <c r="K198" s="138" t="str">
        <f t="shared" ca="1" si="69"/>
        <v>1.9.2.0.4.</v>
      </c>
      <c r="L198" s="356" t="s">
        <v>231</v>
      </c>
      <c r="M198" s="356" t="s">
        <v>254</v>
      </c>
      <c r="N198" s="357" t="s">
        <v>515</v>
      </c>
      <c r="O198" s="358" t="s">
        <v>628</v>
      </c>
      <c r="P198" s="359">
        <f>30.72/2*2</f>
        <v>30.72</v>
      </c>
      <c r="Q198" s="195"/>
      <c r="R198" s="198" t="s">
        <v>7</v>
      </c>
      <c r="S198" s="103">
        <f t="shared" si="70"/>
        <v>0</v>
      </c>
      <c r="T198" s="83">
        <f t="shared" si="71"/>
        <v>0</v>
      </c>
      <c r="U198" s="9" t="str">
        <f t="shared" si="72"/>
        <v>SEM VALOR</v>
      </c>
      <c r="V198" s="1" t="str">
        <f ca="1">IF(OR($A198=0,$A198="S",$A198&gt;CFF!$A$9),"",MAX(V$12:OFFSET(V198,-1,0))+1)</f>
        <v/>
      </c>
      <c r="W198" s="4" t="str">
        <f t="shared" si="75"/>
        <v>SINAPI-102193</v>
      </c>
      <c r="X198" s="1">
        <f t="shared" ca="1" si="74"/>
        <v>12766</v>
      </c>
      <c r="Y198" s="103">
        <v>2.5499999999999998</v>
      </c>
      <c r="Z198" s="113">
        <f ca="1">ROUND(IF(ISNUMBER(R198),R198,IF(LEFT(R198,3)="BDI",HLOOKUP(R198,DADOS!$T$37:$X$38,2,FALSE),0)),15-11*$X$5)</f>
        <v>0.21390000000000001</v>
      </c>
      <c r="AA198" s="1"/>
    </row>
    <row r="199" spans="1:27" x14ac:dyDescent="0.2">
      <c r="A199" t="str">
        <f>CHOOSE(1+LOG(1+2*(J199="Meta")+4*(J199="Nível 2")+8*(J199="Nível 3")+16*(J199="Nível 4")+32*(J199="Serviço"),2),0,1,2,3,4,"S")</f>
        <v>S</v>
      </c>
      <c r="B199">
        <f>IF(OR(A199="S",A199=0),0,IF(ISERROR(I199),H199,SMALL(H199:I199,1)))</f>
        <v>0</v>
      </c>
      <c r="C199">
        <f ca="1">IF($A199=1,OFFSET(C199,-1,0)+1,OFFSET(C199,-1,0))</f>
        <v>1</v>
      </c>
      <c r="D199">
        <f ca="1">IF($A199=1,0,IF($A199=2,OFFSET(D199,-1,0)+1,OFFSET(D199,-1,0)))</f>
        <v>9</v>
      </c>
      <c r="E199">
        <f ca="1">IF(AND($A199&lt;=2,$A199&lt;&gt;0),0,IF($A199=3,OFFSET(E199,-1,0)+1,OFFSET(E199,-1,0)))</f>
        <v>2</v>
      </c>
      <c r="F199">
        <f ca="1">IF(AND($A199&lt;=3,$A199&lt;&gt;0),0,IF($A199=4,OFFSET(F199,-1,0)+1,OFFSET(F199,-1,0)))</f>
        <v>0</v>
      </c>
      <c r="G199">
        <f ca="1">IF(AND($A199&lt;=4,$A199&lt;&gt;0),0,IF($A199="S",OFFSET(G199,-1,0)+1,OFFSET(G199,-1,0)))</f>
        <v>5</v>
      </c>
      <c r="H199">
        <f t="shared" ca="1" si="54"/>
        <v>0</v>
      </c>
      <c r="I199">
        <f t="shared" ca="1" si="55"/>
        <v>0</v>
      </c>
      <c r="J199" s="354" t="s">
        <v>103</v>
      </c>
      <c r="K199" s="138" t="str">
        <f ca="1">IF($A199=0,"-",CONCATENATE(C199&amp;".",IF(AND($A$5&gt;=2,$A199&gt;=2),D199&amp;".",""),IF(AND($A$5&gt;=3,$A199&gt;=3),E199&amp;".",""),IF(AND($A$5&gt;=4,$A199&gt;=4),F199&amp;".",""),IF($A199="S",G199&amp;".","")))</f>
        <v>1.9.2.0.5.</v>
      </c>
      <c r="L199" s="356" t="s">
        <v>231</v>
      </c>
      <c r="M199" s="356" t="s">
        <v>255</v>
      </c>
      <c r="N199" s="357" t="s">
        <v>516</v>
      </c>
      <c r="O199" s="358" t="s">
        <v>628</v>
      </c>
      <c r="P199" s="359">
        <f>P198</f>
        <v>30.72</v>
      </c>
      <c r="Q199" s="195"/>
      <c r="R199" s="198" t="s">
        <v>7</v>
      </c>
      <c r="S199" s="103">
        <f t="shared" ref="S199:S236" si="76">IF($A199="S",IF($Q$10="Preço Unitário (R$)",PO.CustoUnitario,ROUND(PO.CustoUnitario*(1+$Z199),15-13*$X$6)),0)</f>
        <v>0</v>
      </c>
      <c r="T199" s="83">
        <f t="shared" ref="T199:T236" si="77">IF($A199="S",VTOTAL1,IF($A199=0,0,ROUND(SomaAgrup,15-13*$X$7)))</f>
        <v>0</v>
      </c>
      <c r="U199" s="9" t="str">
        <f>IF($J199="","",IF($N199="","DESCRIÇÃO",IF(AND($J199="Serviço",$O199=""),"UNIDADE",IF($T199&lt;=0,"SEM VALOR",IF(AND($Y199&lt;&gt;"",$Q199&gt;$Y199),"ACIMA REF.","")))))</f>
        <v>SEM VALOR</v>
      </c>
      <c r="V199" s="1" t="str">
        <f ca="1">IF(OR($A199=0,$A199="S",$A199&gt;CFF!$A$9),"",MAX(V$12:OFFSET(V199,-1,0))+1)</f>
        <v/>
      </c>
      <c r="W199" s="4" t="str">
        <f>IF(AND($J199="Serviço",$M199&lt;&gt;""),IF($L199="",$M199,CONCATENATE($L199,"-",$M199)))</f>
        <v>SINAPI-102197</v>
      </c>
      <c r="X199" s="1">
        <f t="shared" ref="X199:X236" ca="1" si="78">IF(AND(Fonte&lt;&gt;"",Código&lt;&gt;""),MATCH(Fonte&amp;" "&amp;IF(Fonte="sinapi",SUBSTITUTE(SUBSTITUTE(Código,"/00","/"),"/0","/"),Código),INDIRECT("'[Referência "&amp;_xlnm.Database&amp;".xls]Banco'!$a:$a"),0),"X")</f>
        <v>12769</v>
      </c>
      <c r="Y199" s="103">
        <v>33.94</v>
      </c>
      <c r="Z199" s="113">
        <f ca="1">ROUND(IF(ISNUMBER(R199),R199,IF(LEFT(R199,3)="BDI",HLOOKUP(R199,DADOS!$T$37:$X$38,2,FALSE),0)),15-11*$X$5)</f>
        <v>0.21390000000000001</v>
      </c>
      <c r="AA199" s="1"/>
    </row>
    <row r="200" spans="1:27" ht="25.5" x14ac:dyDescent="0.2">
      <c r="A200" t="str">
        <f t="shared" ref="A200:A236" si="79">CHOOSE(1+LOG(1+2*(J200="Meta")+4*(J200="Nível 2")+8*(J200="Nível 3")+16*(J200="Nível 4")+32*(J200="Serviço"),2),0,1,2,3,4,"S")</f>
        <v>S</v>
      </c>
      <c r="B200">
        <f t="shared" ref="B200:B236" si="80">IF(OR(A200="S",A200=0),0,IF(ISERROR(I200),H200,SMALL(H200:I200,1)))</f>
        <v>0</v>
      </c>
      <c r="C200">
        <f t="shared" ref="C200:C236" ca="1" si="81">IF($A200=1,OFFSET(C200,-1,0)+1,OFFSET(C200,-1,0))</f>
        <v>1</v>
      </c>
      <c r="D200">
        <f t="shared" ref="D200:D236" ca="1" si="82">IF($A200=1,0,IF($A200=2,OFFSET(D200,-1,0)+1,OFFSET(D200,-1,0)))</f>
        <v>9</v>
      </c>
      <c r="E200">
        <f t="shared" ref="E200:E236" ca="1" si="83">IF(AND($A200&lt;=2,$A200&lt;&gt;0),0,IF($A200=3,OFFSET(E200,-1,0)+1,OFFSET(E200,-1,0)))</f>
        <v>2</v>
      </c>
      <c r="F200">
        <f t="shared" ref="F200:F236" ca="1" si="84">IF(AND($A200&lt;=3,$A200&lt;&gt;0),0,IF($A200=4,OFFSET(F200,-1,0)+1,OFFSET(F200,-1,0)))</f>
        <v>0</v>
      </c>
      <c r="G200">
        <f t="shared" ref="G200:G236" ca="1" si="85">IF(AND($A200&lt;=4,$A200&lt;&gt;0),0,IF($A200="S",OFFSET(G200,-1,0)+1,OFFSET(G200,-1,0)))</f>
        <v>6</v>
      </c>
      <c r="H200">
        <f t="shared" ca="1" si="54"/>
        <v>0</v>
      </c>
      <c r="I200">
        <f t="shared" ca="1" si="55"/>
        <v>0</v>
      </c>
      <c r="J200" s="354" t="s">
        <v>103</v>
      </c>
      <c r="K200" s="138" t="str">
        <f t="shared" ref="K200:K236" ca="1" si="86">IF($A200=0,"-",CONCATENATE(C200&amp;".",IF(AND($A$5&gt;=2,$A200&gt;=2),D200&amp;".",""),IF(AND($A$5&gt;=3,$A200&gt;=3),E200&amp;".",""),IF(AND($A$5&gt;=4,$A200&gt;=4),F200&amp;".",""),IF($A200="S",G200&amp;".","")))</f>
        <v>1.9.2.0.6.</v>
      </c>
      <c r="L200" s="356" t="s">
        <v>231</v>
      </c>
      <c r="M200" s="356" t="s">
        <v>312</v>
      </c>
      <c r="N200" s="357" t="s">
        <v>599</v>
      </c>
      <c r="O200" s="358" t="s">
        <v>628</v>
      </c>
      <c r="P200" s="359">
        <f>P199</f>
        <v>30.72</v>
      </c>
      <c r="Q200" s="195"/>
      <c r="R200" s="198" t="s">
        <v>7</v>
      </c>
      <c r="S200" s="103">
        <f t="shared" si="76"/>
        <v>0</v>
      </c>
      <c r="T200" s="83">
        <f t="shared" si="77"/>
        <v>0</v>
      </c>
      <c r="U200" s="9" t="str">
        <f t="shared" ref="U200:U236" si="87">IF($J200="","",IF($N200="","DESCRIÇÃO",IF(AND($J200="Serviço",$O200=""),"UNIDADE",IF($T200&lt;=0,"SEM VALOR",IF(AND($Y200&lt;&gt;"",$Q200&gt;$Y200),"ACIMA REF.","")))))</f>
        <v>SEM VALOR</v>
      </c>
      <c r="V200" s="1" t="str">
        <f ca="1">IF(OR($A200=0,$A200="S",$A200&gt;CFF!$A$9),"",MAX(V$12:OFFSET(V200,-1,0))+1)</f>
        <v/>
      </c>
      <c r="W200" s="4" t="str">
        <f t="shared" ref="W200:W236" si="88">IF(AND($J200="Serviço",$M200&lt;&gt;""),IF($L200="",$M200,CONCATENATE($L200,"-",$M200)))</f>
        <v>SINAPI-102219</v>
      </c>
      <c r="X200" s="1">
        <f t="shared" ca="1" si="78"/>
        <v>12782</v>
      </c>
      <c r="Y200" s="103">
        <v>21.41</v>
      </c>
      <c r="Z200" s="113">
        <f ca="1">ROUND(IF(ISNUMBER(R200),R200,IF(LEFT(R200,3)="BDI",HLOOKUP(R200,DADOS!$T$37:$X$38,2,FALSE),0)),15-11*$X$5)</f>
        <v>0.21390000000000001</v>
      </c>
      <c r="AA200" s="1"/>
    </row>
    <row r="201" spans="1:27" x14ac:dyDescent="0.2">
      <c r="A201">
        <f t="shared" si="79"/>
        <v>3</v>
      </c>
      <c r="B201">
        <f t="shared" ca="1" si="80"/>
        <v>4</v>
      </c>
      <c r="C201">
        <f t="shared" ca="1" si="81"/>
        <v>1</v>
      </c>
      <c r="D201">
        <f t="shared" ca="1" si="82"/>
        <v>9</v>
      </c>
      <c r="E201">
        <f t="shared" ca="1" si="83"/>
        <v>3</v>
      </c>
      <c r="F201">
        <f t="shared" ca="1" si="84"/>
        <v>0</v>
      </c>
      <c r="G201">
        <f t="shared" ca="1" si="85"/>
        <v>0</v>
      </c>
      <c r="H201">
        <f t="shared" ca="1" si="54"/>
        <v>21</v>
      </c>
      <c r="I201">
        <f t="shared" ca="1" si="55"/>
        <v>4</v>
      </c>
      <c r="J201" s="354" t="s">
        <v>101</v>
      </c>
      <c r="K201" s="138" t="str">
        <f t="shared" ca="1" si="86"/>
        <v>1.9.3.</v>
      </c>
      <c r="L201" s="356" t="s">
        <v>231</v>
      </c>
      <c r="M201" s="356"/>
      <c r="N201" s="357" t="s">
        <v>453</v>
      </c>
      <c r="O201" s="358" t="s">
        <v>106</v>
      </c>
      <c r="P201" s="359">
        <v>0</v>
      </c>
      <c r="Q201" s="195"/>
      <c r="R201" s="198" t="s">
        <v>7</v>
      </c>
      <c r="S201" s="103">
        <f t="shared" si="76"/>
        <v>0</v>
      </c>
      <c r="T201" s="83">
        <f t="shared" ca="1" si="77"/>
        <v>0</v>
      </c>
      <c r="U201" s="9" t="str">
        <f t="shared" ca="1" si="87"/>
        <v>SEM VALOR</v>
      </c>
      <c r="V201" s="1" t="str">
        <f ca="1">IF(OR($A201=0,$A201="S",$A201&gt;CFF!$A$9),"",MAX(V$12:OFFSET(V201,-1,0))+1)</f>
        <v/>
      </c>
      <c r="W201" s="4" t="b">
        <f t="shared" si="88"/>
        <v>0</v>
      </c>
      <c r="X201" s="1" t="str">
        <f t="shared" ca="1" si="78"/>
        <v>X</v>
      </c>
      <c r="Y201" s="103">
        <v>0</v>
      </c>
      <c r="Z201" s="113">
        <f ca="1">ROUND(IF(ISNUMBER(R201),R201,IF(LEFT(R201,3)="BDI",HLOOKUP(R201,DADOS!$T$37:$X$38,2,FALSE),0)),15-11*$X$5)</f>
        <v>0.21390000000000001</v>
      </c>
      <c r="AA201" s="1"/>
    </row>
    <row r="202" spans="1:27" x14ac:dyDescent="0.2">
      <c r="A202" t="str">
        <f t="shared" si="79"/>
        <v>S</v>
      </c>
      <c r="B202">
        <f t="shared" si="80"/>
        <v>0</v>
      </c>
      <c r="C202">
        <f t="shared" ca="1" si="81"/>
        <v>1</v>
      </c>
      <c r="D202">
        <f t="shared" ca="1" si="82"/>
        <v>9</v>
      </c>
      <c r="E202">
        <f t="shared" ca="1" si="83"/>
        <v>3</v>
      </c>
      <c r="F202">
        <f t="shared" ca="1" si="84"/>
        <v>0</v>
      </c>
      <c r="G202">
        <f t="shared" ca="1" si="85"/>
        <v>1</v>
      </c>
      <c r="H202">
        <f t="shared" ca="1" si="54"/>
        <v>0</v>
      </c>
      <c r="I202">
        <f t="shared" ca="1" si="55"/>
        <v>0</v>
      </c>
      <c r="J202" s="354" t="s">
        <v>103</v>
      </c>
      <c r="K202" s="138" t="str">
        <f t="shared" ca="1" si="86"/>
        <v>1.9.3.0.1.</v>
      </c>
      <c r="L202" s="356" t="s">
        <v>237</v>
      </c>
      <c r="M202" s="356" t="s">
        <v>330</v>
      </c>
      <c r="N202" s="357" t="s">
        <v>600</v>
      </c>
      <c r="O202" s="358" t="s">
        <v>629</v>
      </c>
      <c r="P202" s="359">
        <f>8/2*2</f>
        <v>8</v>
      </c>
      <c r="Q202" s="195"/>
      <c r="R202" s="198" t="s">
        <v>7</v>
      </c>
      <c r="S202" s="103">
        <f t="shared" si="76"/>
        <v>0</v>
      </c>
      <c r="T202" s="83">
        <f t="shared" si="77"/>
        <v>0</v>
      </c>
      <c r="U202" s="9" t="str">
        <f t="shared" si="87"/>
        <v>SEM VALOR</v>
      </c>
      <c r="V202" s="1" t="str">
        <f ca="1">IF(OR($A202=0,$A202="S",$A202&gt;CFF!$A$9),"",MAX(V$12:OFFSET(V202,-1,0))+1)</f>
        <v/>
      </c>
      <c r="W202" s="4" t="str">
        <f t="shared" si="88"/>
        <v>PM BENTO-136</v>
      </c>
      <c r="X202" s="1">
        <f t="shared" ca="1" si="78"/>
        <v>63</v>
      </c>
      <c r="Y202" s="103">
        <v>52.4</v>
      </c>
      <c r="Z202" s="113">
        <f ca="1">ROUND(IF(ISNUMBER(R202),R202,IF(LEFT(R202,3)="BDI",HLOOKUP(R202,DADOS!$T$37:$X$38,2,FALSE),0)),15-11*$X$5)</f>
        <v>0.21390000000000001</v>
      </c>
      <c r="AA202" s="1"/>
    </row>
    <row r="203" spans="1:27" x14ac:dyDescent="0.2">
      <c r="A203" t="str">
        <f t="shared" si="79"/>
        <v>S</v>
      </c>
      <c r="B203">
        <f t="shared" si="80"/>
        <v>0</v>
      </c>
      <c r="C203">
        <f t="shared" ca="1" si="81"/>
        <v>1</v>
      </c>
      <c r="D203">
        <f t="shared" ca="1" si="82"/>
        <v>9</v>
      </c>
      <c r="E203">
        <f t="shared" ca="1" si="83"/>
        <v>3</v>
      </c>
      <c r="F203">
        <f t="shared" ca="1" si="84"/>
        <v>0</v>
      </c>
      <c r="G203">
        <f t="shared" ca="1" si="85"/>
        <v>2</v>
      </c>
      <c r="H203">
        <f t="shared" ca="1" si="54"/>
        <v>0</v>
      </c>
      <c r="I203">
        <f t="shared" ca="1" si="55"/>
        <v>0</v>
      </c>
      <c r="J203" s="354" t="s">
        <v>103</v>
      </c>
      <c r="K203" s="138" t="str">
        <f t="shared" ca="1" si="86"/>
        <v>1.9.3.0.2.</v>
      </c>
      <c r="L203" s="356" t="s">
        <v>231</v>
      </c>
      <c r="M203" s="356" t="s">
        <v>329</v>
      </c>
      <c r="N203" s="357" t="s">
        <v>601</v>
      </c>
      <c r="O203" s="358" t="s">
        <v>629</v>
      </c>
      <c r="P203" s="359">
        <f>8/2*2</f>
        <v>8</v>
      </c>
      <c r="Q203" s="195"/>
      <c r="R203" s="198" t="s">
        <v>7</v>
      </c>
      <c r="S203" s="103">
        <f t="shared" si="76"/>
        <v>0</v>
      </c>
      <c r="T203" s="83">
        <f t="shared" si="77"/>
        <v>0</v>
      </c>
      <c r="U203" s="9" t="str">
        <f t="shared" si="87"/>
        <v>SEM VALOR</v>
      </c>
      <c r="V203" s="1" t="str">
        <f ca="1">IF(OR($A203=0,$A203="S",$A203&gt;CFF!$A$9),"",MAX(V$12:OFFSET(V203,-1,0))+1)</f>
        <v/>
      </c>
      <c r="W203" s="4" t="str">
        <f t="shared" si="88"/>
        <v>SINAPI-100849</v>
      </c>
      <c r="X203" s="1">
        <f t="shared" ca="1" si="78"/>
        <v>12055</v>
      </c>
      <c r="Y203" s="103">
        <v>52.76</v>
      </c>
      <c r="Z203" s="113">
        <f ca="1">ROUND(IF(ISNUMBER(R203),R203,IF(LEFT(R203,3)="BDI",HLOOKUP(R203,DADOS!$T$37:$X$38,2,FALSE),0)),15-11*$X$5)</f>
        <v>0.21390000000000001</v>
      </c>
      <c r="AA203" s="1"/>
    </row>
    <row r="204" spans="1:27" x14ac:dyDescent="0.2">
      <c r="A204" t="str">
        <f t="shared" si="79"/>
        <v>S</v>
      </c>
      <c r="B204">
        <f t="shared" si="80"/>
        <v>0</v>
      </c>
      <c r="C204">
        <f t="shared" ca="1" si="81"/>
        <v>1</v>
      </c>
      <c r="D204">
        <f t="shared" ca="1" si="82"/>
        <v>9</v>
      </c>
      <c r="E204">
        <f t="shared" ca="1" si="83"/>
        <v>3</v>
      </c>
      <c r="F204">
        <f t="shared" ca="1" si="84"/>
        <v>0</v>
      </c>
      <c r="G204">
        <f t="shared" ca="1" si="85"/>
        <v>3</v>
      </c>
      <c r="H204">
        <f t="shared" ca="1" si="54"/>
        <v>0</v>
      </c>
      <c r="I204">
        <f t="shared" ca="1" si="55"/>
        <v>0</v>
      </c>
      <c r="J204" s="354" t="s">
        <v>103</v>
      </c>
      <c r="K204" s="138" t="str">
        <f t="shared" ca="1" si="86"/>
        <v>1.9.3.0.3.</v>
      </c>
      <c r="L204" s="356" t="s">
        <v>237</v>
      </c>
      <c r="M204" s="356" t="s">
        <v>332</v>
      </c>
      <c r="N204" s="357" t="s">
        <v>602</v>
      </c>
      <c r="O204" s="358" t="s">
        <v>629</v>
      </c>
      <c r="P204" s="359">
        <f>8/2*2</f>
        <v>8</v>
      </c>
      <c r="Q204" s="195"/>
      <c r="R204" s="198" t="s">
        <v>7</v>
      </c>
      <c r="S204" s="103">
        <f t="shared" si="76"/>
        <v>0</v>
      </c>
      <c r="T204" s="83">
        <f t="shared" si="77"/>
        <v>0</v>
      </c>
      <c r="U204" s="9" t="str">
        <f t="shared" si="87"/>
        <v>SEM VALOR</v>
      </c>
      <c r="V204" s="1" t="str">
        <f ca="1">IF(OR($A204=0,$A204="S",$A204&gt;CFF!$A$9),"",MAX(V$12:OFFSET(V204,-1,0))+1)</f>
        <v/>
      </c>
      <c r="W204" s="4" t="str">
        <f t="shared" si="88"/>
        <v>PM BENTO-158</v>
      </c>
      <c r="X204" s="1">
        <f t="shared" ca="1" si="78"/>
        <v>86</v>
      </c>
      <c r="Y204" s="103">
        <v>41.13</v>
      </c>
      <c r="Z204" s="113">
        <f ca="1">ROUND(IF(ISNUMBER(R204),R204,IF(LEFT(R204,3)="BDI",HLOOKUP(R204,DADOS!$T$37:$X$38,2,FALSE),0)),15-11*$X$5)</f>
        <v>0.21390000000000001</v>
      </c>
      <c r="AA204" s="1"/>
    </row>
    <row r="205" spans="1:27" x14ac:dyDescent="0.2">
      <c r="A205">
        <f t="shared" si="79"/>
        <v>3</v>
      </c>
      <c r="B205">
        <f t="shared" ca="1" si="80"/>
        <v>5</v>
      </c>
      <c r="C205">
        <f t="shared" ca="1" si="81"/>
        <v>1</v>
      </c>
      <c r="D205">
        <f t="shared" ca="1" si="82"/>
        <v>9</v>
      </c>
      <c r="E205">
        <f t="shared" ca="1" si="83"/>
        <v>4</v>
      </c>
      <c r="F205">
        <f t="shared" ca="1" si="84"/>
        <v>0</v>
      </c>
      <c r="G205">
        <f t="shared" ca="1" si="85"/>
        <v>0</v>
      </c>
      <c r="H205">
        <f t="shared" ca="1" si="54"/>
        <v>17</v>
      </c>
      <c r="I205">
        <f t="shared" ca="1" si="55"/>
        <v>5</v>
      </c>
      <c r="J205" s="354" t="s">
        <v>101</v>
      </c>
      <c r="K205" s="138" t="str">
        <f t="shared" ca="1" si="86"/>
        <v>1.9.4.</v>
      </c>
      <c r="L205" s="356" t="s">
        <v>261</v>
      </c>
      <c r="M205" s="356"/>
      <c r="N205" s="357" t="s">
        <v>454</v>
      </c>
      <c r="O205" s="358" t="s">
        <v>106</v>
      </c>
      <c r="P205" s="359">
        <v>0</v>
      </c>
      <c r="Q205" s="195"/>
      <c r="R205" s="198" t="s">
        <v>7</v>
      </c>
      <c r="S205" s="103">
        <f t="shared" si="76"/>
        <v>0</v>
      </c>
      <c r="T205" s="83">
        <f t="shared" ca="1" si="77"/>
        <v>0</v>
      </c>
      <c r="U205" s="9" t="str">
        <f t="shared" ca="1" si="87"/>
        <v>SEM VALOR</v>
      </c>
      <c r="V205" s="1" t="str">
        <f ca="1">IF(OR($A205=0,$A205="S",$A205&gt;CFF!$A$9),"",MAX(V$12:OFFSET(V205,-1,0))+1)</f>
        <v/>
      </c>
      <c r="W205" s="4" t="b">
        <f t="shared" si="88"/>
        <v>0</v>
      </c>
      <c r="X205" s="1" t="str">
        <f t="shared" ca="1" si="78"/>
        <v>X</v>
      </c>
      <c r="Y205" s="103">
        <v>0</v>
      </c>
      <c r="Z205" s="113">
        <f ca="1">ROUND(IF(ISNUMBER(R205),R205,IF(LEFT(R205,3)="BDI",HLOOKUP(R205,DADOS!$T$37:$X$38,2,FALSE),0)),15-11*$X$5)</f>
        <v>0.21390000000000001</v>
      </c>
      <c r="AA205" s="1"/>
    </row>
    <row r="206" spans="1:27" ht="25.5" x14ac:dyDescent="0.2">
      <c r="A206" t="str">
        <f t="shared" si="79"/>
        <v>S</v>
      </c>
      <c r="B206">
        <f t="shared" si="80"/>
        <v>0</v>
      </c>
      <c r="C206">
        <f t="shared" ca="1" si="81"/>
        <v>1</v>
      </c>
      <c r="D206">
        <f t="shared" ca="1" si="82"/>
        <v>9</v>
      </c>
      <c r="E206">
        <f t="shared" ca="1" si="83"/>
        <v>4</v>
      </c>
      <c r="F206">
        <f t="shared" ca="1" si="84"/>
        <v>0</v>
      </c>
      <c r="G206">
        <f t="shared" ca="1" si="85"/>
        <v>1</v>
      </c>
      <c r="H206">
        <f t="shared" ref="H206:H231" ca="1" si="89">IF(OR($A206="S",$A206=0),0,MATCH(0,OFFSET($B206,1,$A206,ROW($A$242)-ROW($A206)),0))</f>
        <v>0</v>
      </c>
      <c r="I206">
        <f t="shared" ref="I206:I231" ca="1" si="90">IF(OR($A206="S",$A206=0),0,MATCH(OFFSET($B206,0,$A206)+1,OFFSET($B206,1,$A206,ROW($A$242)-ROW($A206)),0))</f>
        <v>0</v>
      </c>
      <c r="J206" s="354" t="s">
        <v>103</v>
      </c>
      <c r="K206" s="138" t="str">
        <f t="shared" ca="1" si="86"/>
        <v>1.9.4.0.1.</v>
      </c>
      <c r="L206" s="356" t="s">
        <v>231</v>
      </c>
      <c r="M206" s="356" t="s">
        <v>314</v>
      </c>
      <c r="N206" s="357" t="s">
        <v>603</v>
      </c>
      <c r="O206" s="358" t="s">
        <v>628</v>
      </c>
      <c r="P206" s="359">
        <f>166.8/2*2</f>
        <v>166.8</v>
      </c>
      <c r="Q206" s="195"/>
      <c r="R206" s="198" t="s">
        <v>7</v>
      </c>
      <c r="S206" s="103">
        <f t="shared" si="76"/>
        <v>0</v>
      </c>
      <c r="T206" s="83">
        <f t="shared" si="77"/>
        <v>0</v>
      </c>
      <c r="U206" s="9" t="str">
        <f t="shared" si="87"/>
        <v>SEM VALOR</v>
      </c>
      <c r="V206" s="1" t="str">
        <f ca="1">IF(OR($A206=0,$A206="S",$A206&gt;CFF!$A$9),"",MAX(V$12:OFFSET(V206,-1,0))+1)</f>
        <v/>
      </c>
      <c r="W206" s="4" t="str">
        <f t="shared" si="88"/>
        <v>SINAPI-87273</v>
      </c>
      <c r="X206" s="1">
        <f t="shared" ca="1" si="78"/>
        <v>13675</v>
      </c>
      <c r="Y206" s="103">
        <v>89.73</v>
      </c>
      <c r="Z206" s="113">
        <f ca="1">ROUND(IF(ISNUMBER(R206),R206,IF(LEFT(R206,3)="BDI",HLOOKUP(R206,DADOS!$T$37:$X$38,2,FALSE),0)),15-11*$X$5)</f>
        <v>0.21390000000000001</v>
      </c>
      <c r="AA206" s="1"/>
    </row>
    <row r="207" spans="1:27" x14ac:dyDescent="0.2">
      <c r="A207" t="str">
        <f t="shared" si="79"/>
        <v>S</v>
      </c>
      <c r="B207">
        <f t="shared" si="80"/>
        <v>0</v>
      </c>
      <c r="C207">
        <f t="shared" ca="1" si="81"/>
        <v>1</v>
      </c>
      <c r="D207">
        <f t="shared" ca="1" si="82"/>
        <v>9</v>
      </c>
      <c r="E207">
        <f t="shared" ca="1" si="83"/>
        <v>4</v>
      </c>
      <c r="F207">
        <f t="shared" ca="1" si="84"/>
        <v>0</v>
      </c>
      <c r="G207">
        <f t="shared" ca="1" si="85"/>
        <v>2</v>
      </c>
      <c r="H207">
        <f t="shared" ca="1" si="89"/>
        <v>0</v>
      </c>
      <c r="I207">
        <f t="shared" ca="1" si="90"/>
        <v>0</v>
      </c>
      <c r="J207" s="354" t="s">
        <v>103</v>
      </c>
      <c r="K207" s="138" t="str">
        <f t="shared" ca="1" si="86"/>
        <v>1.9.4.0.2.</v>
      </c>
      <c r="L207" s="356" t="s">
        <v>231</v>
      </c>
      <c r="M207" s="356" t="s">
        <v>315</v>
      </c>
      <c r="N207" s="357" t="s">
        <v>604</v>
      </c>
      <c r="O207" s="358" t="s">
        <v>628</v>
      </c>
      <c r="P207" s="359">
        <f>34.84/2*2</f>
        <v>34.840000000000003</v>
      </c>
      <c r="Q207" s="195"/>
      <c r="R207" s="198" t="s">
        <v>7</v>
      </c>
      <c r="S207" s="103">
        <f t="shared" si="76"/>
        <v>0</v>
      </c>
      <c r="T207" s="83">
        <f t="shared" si="77"/>
        <v>0</v>
      </c>
      <c r="U207" s="9" t="str">
        <f t="shared" si="87"/>
        <v>SEM VALOR</v>
      </c>
      <c r="V207" s="1" t="str">
        <f ca="1">IF(OR($A207=0,$A207="S",$A207&gt;CFF!$A$9),"",MAX(V$12:OFFSET(V207,-1,0))+1)</f>
        <v/>
      </c>
      <c r="W207" s="4" t="str">
        <f t="shared" si="88"/>
        <v>SINAPI-88484</v>
      </c>
      <c r="X207" s="1">
        <f t="shared" ca="1" si="78"/>
        <v>12750</v>
      </c>
      <c r="Y207" s="103">
        <v>6</v>
      </c>
      <c r="Z207" s="113">
        <f ca="1">ROUND(IF(ISNUMBER(R207),R207,IF(LEFT(R207,3)="BDI",HLOOKUP(R207,DADOS!$T$37:$X$38,2,FALSE),0)),15-11*$X$5)</f>
        <v>0.21390000000000001</v>
      </c>
      <c r="AA207" s="1"/>
    </row>
    <row r="208" spans="1:27" x14ac:dyDescent="0.2">
      <c r="A208" t="str">
        <f t="shared" si="79"/>
        <v>S</v>
      </c>
      <c r="B208">
        <f t="shared" si="80"/>
        <v>0</v>
      </c>
      <c r="C208">
        <f t="shared" ca="1" si="81"/>
        <v>1</v>
      </c>
      <c r="D208">
        <f t="shared" ca="1" si="82"/>
        <v>9</v>
      </c>
      <c r="E208">
        <f t="shared" ca="1" si="83"/>
        <v>4</v>
      </c>
      <c r="F208">
        <f t="shared" ca="1" si="84"/>
        <v>0</v>
      </c>
      <c r="G208">
        <f t="shared" ca="1" si="85"/>
        <v>3</v>
      </c>
      <c r="H208">
        <f t="shared" ca="1" si="89"/>
        <v>0</v>
      </c>
      <c r="I208">
        <f t="shared" ca="1" si="90"/>
        <v>0</v>
      </c>
      <c r="J208" s="354" t="s">
        <v>103</v>
      </c>
      <c r="K208" s="138" t="str">
        <f t="shared" ca="1" si="86"/>
        <v>1.9.4.0.3.</v>
      </c>
      <c r="L208" s="356" t="s">
        <v>231</v>
      </c>
      <c r="M208" s="356" t="s">
        <v>316</v>
      </c>
      <c r="N208" s="357" t="s">
        <v>605</v>
      </c>
      <c r="O208" s="358" t="s">
        <v>628</v>
      </c>
      <c r="P208" s="359">
        <f>P207</f>
        <v>34.840000000000003</v>
      </c>
      <c r="Q208" s="195"/>
      <c r="R208" s="198" t="s">
        <v>7</v>
      </c>
      <c r="S208" s="103">
        <f t="shared" si="76"/>
        <v>0</v>
      </c>
      <c r="T208" s="83">
        <f t="shared" si="77"/>
        <v>0</v>
      </c>
      <c r="U208" s="9" t="str">
        <f t="shared" si="87"/>
        <v>SEM VALOR</v>
      </c>
      <c r="V208" s="1" t="str">
        <f ca="1">IF(OR($A208=0,$A208="S",$A208&gt;CFF!$A$9),"",MAX(V$12:OFFSET(V208,-1,0))+1)</f>
        <v/>
      </c>
      <c r="W208" s="4" t="str">
        <f t="shared" si="88"/>
        <v>SINAPI-88496</v>
      </c>
      <c r="X208" s="1">
        <f t="shared" ca="1" si="78"/>
        <v>12745</v>
      </c>
      <c r="Y208" s="103">
        <v>40.020000000000003</v>
      </c>
      <c r="Z208" s="113">
        <f ca="1">ROUND(IF(ISNUMBER(R208),R208,IF(LEFT(R208,3)="BDI",HLOOKUP(R208,DADOS!$T$37:$X$38,2,FALSE),0)),15-11*$X$5)</f>
        <v>0.21390000000000001</v>
      </c>
      <c r="AA208" s="1"/>
    </row>
    <row r="209" spans="1:27" x14ac:dyDescent="0.2">
      <c r="A209" t="str">
        <f t="shared" si="79"/>
        <v>S</v>
      </c>
      <c r="B209">
        <f t="shared" si="80"/>
        <v>0</v>
      </c>
      <c r="C209">
        <f t="shared" ca="1" si="81"/>
        <v>1</v>
      </c>
      <c r="D209">
        <f t="shared" ca="1" si="82"/>
        <v>9</v>
      </c>
      <c r="E209">
        <f t="shared" ca="1" si="83"/>
        <v>4</v>
      </c>
      <c r="F209">
        <f t="shared" ca="1" si="84"/>
        <v>0</v>
      </c>
      <c r="G209">
        <f t="shared" ca="1" si="85"/>
        <v>4</v>
      </c>
      <c r="H209">
        <f t="shared" ca="1" si="89"/>
        <v>0</v>
      </c>
      <c r="I209">
        <f t="shared" ca="1" si="90"/>
        <v>0</v>
      </c>
      <c r="J209" s="354" t="s">
        <v>103</v>
      </c>
      <c r="K209" s="138" t="str">
        <f t="shared" ca="1" si="86"/>
        <v>1.9.4.0.4.</v>
      </c>
      <c r="L209" s="356" t="s">
        <v>231</v>
      </c>
      <c r="M209" s="356" t="s">
        <v>348</v>
      </c>
      <c r="N209" s="357" t="s">
        <v>606</v>
      </c>
      <c r="O209" s="358" t="s">
        <v>628</v>
      </c>
      <c r="P209" s="359">
        <f>P208</f>
        <v>34.840000000000003</v>
      </c>
      <c r="Q209" s="195"/>
      <c r="R209" s="198" t="s">
        <v>7</v>
      </c>
      <c r="S209" s="103">
        <f t="shared" si="76"/>
        <v>0</v>
      </c>
      <c r="T209" s="83">
        <f t="shared" si="77"/>
        <v>0</v>
      </c>
      <c r="U209" s="9" t="str">
        <f t="shared" si="87"/>
        <v>SEM VALOR</v>
      </c>
      <c r="V209" s="1" t="str">
        <f ca="1">IF(OR($A209=0,$A209="S",$A209&gt;CFF!$A$9),"",MAX(V$12:OFFSET(V209,-1,0))+1)</f>
        <v/>
      </c>
      <c r="W209" s="4" t="str">
        <f t="shared" si="88"/>
        <v>SINAPI-104640</v>
      </c>
      <c r="X209" s="1">
        <f t="shared" ca="1" si="78"/>
        <v>12760</v>
      </c>
      <c r="Y209" s="103">
        <v>16.96</v>
      </c>
      <c r="Z209" s="113">
        <f ca="1">ROUND(IF(ISNUMBER(R209),R209,IF(LEFT(R209,3)="BDI",HLOOKUP(R209,DADOS!$T$37:$X$38,2,FALSE),0)),15-11*$X$5)</f>
        <v>0.21390000000000001</v>
      </c>
      <c r="AA209" s="1"/>
    </row>
    <row r="210" spans="1:27" x14ac:dyDescent="0.2">
      <c r="A210">
        <f t="shared" si="79"/>
        <v>3</v>
      </c>
      <c r="B210">
        <f t="shared" ca="1" si="80"/>
        <v>12</v>
      </c>
      <c r="C210">
        <f t="shared" ca="1" si="81"/>
        <v>1</v>
      </c>
      <c r="D210">
        <f t="shared" ca="1" si="82"/>
        <v>9</v>
      </c>
      <c r="E210">
        <f t="shared" ca="1" si="83"/>
        <v>5</v>
      </c>
      <c r="F210">
        <f t="shared" ca="1" si="84"/>
        <v>0</v>
      </c>
      <c r="G210">
        <f t="shared" ca="1" si="85"/>
        <v>0</v>
      </c>
      <c r="H210">
        <f t="shared" ca="1" si="89"/>
        <v>12</v>
      </c>
      <c r="I210" t="e">
        <f t="shared" ca="1" si="90"/>
        <v>#N/A</v>
      </c>
      <c r="J210" s="354" t="s">
        <v>101</v>
      </c>
      <c r="K210" s="138" t="str">
        <f t="shared" ca="1" si="86"/>
        <v>1.9.5.</v>
      </c>
      <c r="L210" s="356"/>
      <c r="M210" s="356"/>
      <c r="N210" s="357" t="s">
        <v>455</v>
      </c>
      <c r="O210" s="358" t="s">
        <v>106</v>
      </c>
      <c r="P210" s="359">
        <v>0</v>
      </c>
      <c r="Q210" s="195"/>
      <c r="R210" s="198" t="s">
        <v>7</v>
      </c>
      <c r="S210" s="103">
        <f t="shared" si="76"/>
        <v>0</v>
      </c>
      <c r="T210" s="83">
        <f t="shared" ca="1" si="77"/>
        <v>0</v>
      </c>
      <c r="U210" s="9" t="str">
        <f t="shared" ca="1" si="87"/>
        <v>SEM VALOR</v>
      </c>
      <c r="V210" s="1" t="str">
        <f ca="1">IF(OR($A210=0,$A210="S",$A210&gt;CFF!$A$9),"",MAX(V$12:OFFSET(V210,-1,0))+1)</f>
        <v/>
      </c>
      <c r="W210" s="4" t="b">
        <f t="shared" si="88"/>
        <v>0</v>
      </c>
      <c r="X210" s="1" t="str">
        <f t="shared" ca="1" si="78"/>
        <v>X</v>
      </c>
      <c r="Y210" s="103">
        <v>0</v>
      </c>
      <c r="Z210" s="113">
        <f ca="1">ROUND(IF(ISNUMBER(R210),R210,IF(LEFT(R210,3)="BDI",HLOOKUP(R210,DADOS!$T$37:$X$38,2,FALSE),0)),15-11*$X$5)</f>
        <v>0.21390000000000001</v>
      </c>
      <c r="AA210" s="1"/>
    </row>
    <row r="211" spans="1:27" x14ac:dyDescent="0.2">
      <c r="A211" t="str">
        <f t="shared" si="79"/>
        <v>S</v>
      </c>
      <c r="B211">
        <f t="shared" si="80"/>
        <v>0</v>
      </c>
      <c r="C211">
        <f t="shared" ca="1" si="81"/>
        <v>1</v>
      </c>
      <c r="D211">
        <f t="shared" ca="1" si="82"/>
        <v>9</v>
      </c>
      <c r="E211">
        <f t="shared" ca="1" si="83"/>
        <v>5</v>
      </c>
      <c r="F211">
        <f t="shared" ca="1" si="84"/>
        <v>0</v>
      </c>
      <c r="G211">
        <f t="shared" ca="1" si="85"/>
        <v>1</v>
      </c>
      <c r="H211">
        <f t="shared" ca="1" si="89"/>
        <v>0</v>
      </c>
      <c r="I211">
        <f t="shared" ca="1" si="90"/>
        <v>0</v>
      </c>
      <c r="J211" s="354" t="s">
        <v>103</v>
      </c>
      <c r="K211" s="138" t="str">
        <f t="shared" ca="1" si="86"/>
        <v>1.9.5.0.1.</v>
      </c>
      <c r="L211" s="356" t="s">
        <v>231</v>
      </c>
      <c r="M211" s="356" t="s">
        <v>307</v>
      </c>
      <c r="N211" s="357" t="s">
        <v>582</v>
      </c>
      <c r="O211" s="358" t="s">
        <v>629</v>
      </c>
      <c r="P211" s="359">
        <f>4/2*2</f>
        <v>4</v>
      </c>
      <c r="Q211" s="195"/>
      <c r="R211" s="198" t="s">
        <v>7</v>
      </c>
      <c r="S211" s="103">
        <f t="shared" si="76"/>
        <v>0</v>
      </c>
      <c r="T211" s="83">
        <f t="shared" si="77"/>
        <v>0</v>
      </c>
      <c r="U211" s="9" t="str">
        <f t="shared" si="87"/>
        <v>SEM VALOR</v>
      </c>
      <c r="V211" s="1" t="str">
        <f ca="1">IF(OR($A211=0,$A211="S",$A211&gt;CFF!$A$9),"",MAX(V$12:OFFSET(V211,-1,0))+1)</f>
        <v/>
      </c>
      <c r="W211" s="4" t="str">
        <f t="shared" si="88"/>
        <v>SINAPI-97665</v>
      </c>
      <c r="X211" s="1">
        <f t="shared" ca="1" si="78"/>
        <v>6789</v>
      </c>
      <c r="Y211" s="103">
        <v>2.37</v>
      </c>
      <c r="Z211" s="113">
        <f ca="1">ROUND(IF(ISNUMBER(R211),R211,IF(LEFT(R211,3)="BDI",HLOOKUP(R211,DADOS!$T$37:$X$38,2,FALSE),0)),15-11*$X$5)</f>
        <v>0.21390000000000001</v>
      </c>
      <c r="AA211" s="1"/>
    </row>
    <row r="212" spans="1:27" ht="25.5" x14ac:dyDescent="0.2">
      <c r="A212" t="str">
        <f t="shared" si="79"/>
        <v>S</v>
      </c>
      <c r="B212">
        <f t="shared" si="80"/>
        <v>0</v>
      </c>
      <c r="C212">
        <f t="shared" ca="1" si="81"/>
        <v>1</v>
      </c>
      <c r="D212">
        <f t="shared" ca="1" si="82"/>
        <v>9</v>
      </c>
      <c r="E212">
        <f t="shared" ca="1" si="83"/>
        <v>5</v>
      </c>
      <c r="F212">
        <f t="shared" ca="1" si="84"/>
        <v>0</v>
      </c>
      <c r="G212">
        <f t="shared" ca="1" si="85"/>
        <v>2</v>
      </c>
      <c r="H212">
        <f t="shared" ca="1" si="89"/>
        <v>0</v>
      </c>
      <c r="I212">
        <f t="shared" ca="1" si="90"/>
        <v>0</v>
      </c>
      <c r="J212" s="354" t="s">
        <v>103</v>
      </c>
      <c r="K212" s="138" t="str">
        <f t="shared" ca="1" si="86"/>
        <v>1.9.5.0.2.</v>
      </c>
      <c r="L212" s="356" t="s">
        <v>231</v>
      </c>
      <c r="M212" s="356" t="s">
        <v>306</v>
      </c>
      <c r="N212" s="357" t="s">
        <v>581</v>
      </c>
      <c r="O212" s="358" t="s">
        <v>629</v>
      </c>
      <c r="P212" s="359">
        <f>4/2*2</f>
        <v>4</v>
      </c>
      <c r="Q212" s="195"/>
      <c r="R212" s="198" t="s">
        <v>7</v>
      </c>
      <c r="S212" s="103">
        <f t="shared" si="76"/>
        <v>0</v>
      </c>
      <c r="T212" s="83">
        <f t="shared" si="77"/>
        <v>0</v>
      </c>
      <c r="U212" s="9" t="str">
        <f t="shared" si="87"/>
        <v>SEM VALOR</v>
      </c>
      <c r="V212" s="1" t="str">
        <f ca="1">IF(OR($A212=0,$A212="S",$A212&gt;CFF!$A$9),"",MAX(V$12:OFFSET(V212,-1,0))+1)</f>
        <v/>
      </c>
      <c r="W212" s="4" t="str">
        <f t="shared" si="88"/>
        <v>SINAPI-97660</v>
      </c>
      <c r="X212" s="1">
        <f t="shared" ca="1" si="78"/>
        <v>6786</v>
      </c>
      <c r="Y212" s="103">
        <v>0.87</v>
      </c>
      <c r="Z212" s="113">
        <f ca="1">ROUND(IF(ISNUMBER(R212),R212,IF(LEFT(R212,3)="BDI",HLOOKUP(R212,DADOS!$T$37:$X$38,2,FALSE),0)),15-11*$X$5)</f>
        <v>0.21390000000000001</v>
      </c>
      <c r="AA212" s="1"/>
    </row>
    <row r="213" spans="1:27" ht="25.5" x14ac:dyDescent="0.2">
      <c r="A213" t="str">
        <f t="shared" si="79"/>
        <v>S</v>
      </c>
      <c r="B213">
        <f t="shared" si="80"/>
        <v>0</v>
      </c>
      <c r="C213">
        <f t="shared" ca="1" si="81"/>
        <v>1</v>
      </c>
      <c r="D213">
        <f t="shared" ca="1" si="82"/>
        <v>9</v>
      </c>
      <c r="E213">
        <f t="shared" ca="1" si="83"/>
        <v>5</v>
      </c>
      <c r="F213">
        <f t="shared" ca="1" si="84"/>
        <v>0</v>
      </c>
      <c r="G213">
        <f t="shared" ca="1" si="85"/>
        <v>3</v>
      </c>
      <c r="H213">
        <f t="shared" ca="1" si="89"/>
        <v>0</v>
      </c>
      <c r="I213">
        <f t="shared" ca="1" si="90"/>
        <v>0</v>
      </c>
      <c r="J213" s="354" t="s">
        <v>103</v>
      </c>
      <c r="K213" s="138" t="str">
        <f t="shared" ca="1" si="86"/>
        <v>1.9.5.0.3.</v>
      </c>
      <c r="L213" s="356" t="s">
        <v>231</v>
      </c>
      <c r="M213" s="356" t="s">
        <v>305</v>
      </c>
      <c r="N213" s="357" t="s">
        <v>580</v>
      </c>
      <c r="O213" s="358" t="s">
        <v>632</v>
      </c>
      <c r="P213" s="359">
        <f>70/2*2</f>
        <v>70</v>
      </c>
      <c r="Q213" s="195"/>
      <c r="R213" s="198" t="s">
        <v>7</v>
      </c>
      <c r="S213" s="103">
        <f t="shared" si="76"/>
        <v>0</v>
      </c>
      <c r="T213" s="83">
        <f t="shared" si="77"/>
        <v>0</v>
      </c>
      <c r="U213" s="9" t="str">
        <f t="shared" si="87"/>
        <v>SEM VALOR</v>
      </c>
      <c r="V213" s="1" t="str">
        <f ca="1">IF(OR($A213=0,$A213="S",$A213&gt;CFF!$A$9),"",MAX(V$12:OFFSET(V213,-1,0))+1)</f>
        <v/>
      </c>
      <c r="W213" s="4" t="str">
        <f t="shared" si="88"/>
        <v>SINAPI-104793</v>
      </c>
      <c r="X213" s="1">
        <f t="shared" ca="1" si="78"/>
        <v>6781</v>
      </c>
      <c r="Y213" s="103">
        <v>0.7</v>
      </c>
      <c r="Z213" s="113">
        <f ca="1">ROUND(IF(ISNUMBER(R213),R213,IF(LEFT(R213,3)="BDI",HLOOKUP(R213,DADOS!$T$37:$X$38,2,FALSE),0)),15-11*$X$5)</f>
        <v>0.21390000000000001</v>
      </c>
      <c r="AA213" s="1"/>
    </row>
    <row r="214" spans="1:27" ht="25.5" x14ac:dyDescent="0.2">
      <c r="A214" t="str">
        <f t="shared" si="79"/>
        <v>S</v>
      </c>
      <c r="B214">
        <f t="shared" si="80"/>
        <v>0</v>
      </c>
      <c r="C214">
        <f t="shared" ca="1" si="81"/>
        <v>1</v>
      </c>
      <c r="D214">
        <f t="shared" ca="1" si="82"/>
        <v>9</v>
      </c>
      <c r="E214">
        <f t="shared" ca="1" si="83"/>
        <v>5</v>
      </c>
      <c r="F214">
        <f t="shared" ca="1" si="84"/>
        <v>0</v>
      </c>
      <c r="G214">
        <f t="shared" ca="1" si="85"/>
        <v>4</v>
      </c>
      <c r="H214">
        <f t="shared" ca="1" si="89"/>
        <v>0</v>
      </c>
      <c r="I214">
        <f t="shared" ca="1" si="90"/>
        <v>0</v>
      </c>
      <c r="J214" s="354" t="s">
        <v>103</v>
      </c>
      <c r="K214" s="138" t="str">
        <f t="shared" ca="1" si="86"/>
        <v>1.9.5.0.4.</v>
      </c>
      <c r="L214" s="356" t="s">
        <v>231</v>
      </c>
      <c r="M214" s="356" t="s">
        <v>317</v>
      </c>
      <c r="N214" s="357" t="s">
        <v>607</v>
      </c>
      <c r="O214" s="358" t="s">
        <v>632</v>
      </c>
      <c r="P214" s="359">
        <f>8/2*2</f>
        <v>8</v>
      </c>
      <c r="Q214" s="195"/>
      <c r="R214" s="198" t="s">
        <v>7</v>
      </c>
      <c r="S214" s="103">
        <f t="shared" si="76"/>
        <v>0</v>
      </c>
      <c r="T214" s="83">
        <f t="shared" si="77"/>
        <v>0</v>
      </c>
      <c r="U214" s="9" t="str">
        <f t="shared" si="87"/>
        <v>SEM VALOR</v>
      </c>
      <c r="V214" s="1" t="str">
        <f ca="1">IF(OR($A214=0,$A214="S",$A214&gt;CFF!$A$9),"",MAX(V$12:OFFSET(V214,-1,0))+1)</f>
        <v/>
      </c>
      <c r="W214" s="4" t="str">
        <f t="shared" si="88"/>
        <v>SINAPI-104780</v>
      </c>
      <c r="X214" s="1">
        <f t="shared" ca="1" si="78"/>
        <v>13364</v>
      </c>
      <c r="Y214" s="103">
        <v>9.69</v>
      </c>
      <c r="Z214" s="113">
        <f ca="1">ROUND(IF(ISNUMBER(R214),R214,IF(LEFT(R214,3)="BDI",HLOOKUP(R214,DADOS!$T$37:$X$38,2,FALSE),0)),15-11*$X$5)</f>
        <v>0.21390000000000001</v>
      </c>
      <c r="AA214" s="1"/>
    </row>
    <row r="215" spans="1:27" ht="25.5" x14ac:dyDescent="0.2">
      <c r="A215" t="str">
        <f t="shared" si="79"/>
        <v>S</v>
      </c>
      <c r="B215">
        <f t="shared" si="80"/>
        <v>0</v>
      </c>
      <c r="C215">
        <f t="shared" ca="1" si="81"/>
        <v>1</v>
      </c>
      <c r="D215">
        <f t="shared" ca="1" si="82"/>
        <v>9</v>
      </c>
      <c r="E215">
        <f t="shared" ca="1" si="83"/>
        <v>5</v>
      </c>
      <c r="F215">
        <f t="shared" ca="1" si="84"/>
        <v>0</v>
      </c>
      <c r="G215">
        <f t="shared" ca="1" si="85"/>
        <v>5</v>
      </c>
      <c r="H215">
        <f t="shared" ca="1" si="89"/>
        <v>0</v>
      </c>
      <c r="I215">
        <f t="shared" ca="1" si="90"/>
        <v>0</v>
      </c>
      <c r="J215" s="354" t="s">
        <v>103</v>
      </c>
      <c r="K215" s="138" t="str">
        <f t="shared" ca="1" si="86"/>
        <v>1.9.5.0.5.</v>
      </c>
      <c r="L215" s="356" t="s">
        <v>231</v>
      </c>
      <c r="M215" s="356" t="s">
        <v>318</v>
      </c>
      <c r="N215" s="357" t="s">
        <v>608</v>
      </c>
      <c r="O215" s="358" t="s">
        <v>632</v>
      </c>
      <c r="P215" s="359">
        <f>8/2*2</f>
        <v>8</v>
      </c>
      <c r="Q215" s="195"/>
      <c r="R215" s="198" t="s">
        <v>7</v>
      </c>
      <c r="S215" s="103">
        <f t="shared" si="76"/>
        <v>0</v>
      </c>
      <c r="T215" s="83">
        <f t="shared" si="77"/>
        <v>0</v>
      </c>
      <c r="U215" s="9" t="str">
        <f t="shared" si="87"/>
        <v>SEM VALOR</v>
      </c>
      <c r="V215" s="1" t="str">
        <f ca="1">IF(OR($A215=0,$A215="S",$A215&gt;CFF!$A$9),"",MAX(V$12:OFFSET(V215,-1,0))+1)</f>
        <v/>
      </c>
      <c r="W215" s="4" t="str">
        <f t="shared" si="88"/>
        <v>SINAPI-104766</v>
      </c>
      <c r="X215" s="1">
        <f t="shared" ca="1" si="78"/>
        <v>13295</v>
      </c>
      <c r="Y215" s="103">
        <v>20.329999999999998</v>
      </c>
      <c r="Z215" s="113">
        <f ca="1">ROUND(IF(ISNUMBER(R215),R215,IF(LEFT(R215,3)="BDI",HLOOKUP(R215,DADOS!$T$37:$X$38,2,FALSE),0)),15-11*$X$5)</f>
        <v>0.21390000000000001</v>
      </c>
      <c r="AA215" s="1"/>
    </row>
    <row r="216" spans="1:27" ht="25.5" x14ac:dyDescent="0.2">
      <c r="A216" t="str">
        <f t="shared" si="79"/>
        <v>S</v>
      </c>
      <c r="B216">
        <f t="shared" si="80"/>
        <v>0</v>
      </c>
      <c r="C216">
        <f t="shared" ca="1" si="81"/>
        <v>1</v>
      </c>
      <c r="D216">
        <f t="shared" ca="1" si="82"/>
        <v>9</v>
      </c>
      <c r="E216">
        <f t="shared" ca="1" si="83"/>
        <v>5</v>
      </c>
      <c r="F216">
        <f t="shared" ca="1" si="84"/>
        <v>0</v>
      </c>
      <c r="G216">
        <f t="shared" ca="1" si="85"/>
        <v>6</v>
      </c>
      <c r="H216">
        <f t="shared" ca="1" si="89"/>
        <v>0</v>
      </c>
      <c r="I216">
        <f t="shared" ca="1" si="90"/>
        <v>0</v>
      </c>
      <c r="J216" s="354" t="s">
        <v>103</v>
      </c>
      <c r="K216" s="138" t="str">
        <f t="shared" ca="1" si="86"/>
        <v>1.9.5.0.6.</v>
      </c>
      <c r="L216" s="356" t="s">
        <v>231</v>
      </c>
      <c r="M216" s="356" t="s">
        <v>319</v>
      </c>
      <c r="N216" s="357" t="s">
        <v>609</v>
      </c>
      <c r="O216" s="358" t="s">
        <v>632</v>
      </c>
      <c r="P216" s="359">
        <f>6</f>
        <v>6</v>
      </c>
      <c r="Q216" s="195"/>
      <c r="R216" s="198" t="s">
        <v>7</v>
      </c>
      <c r="S216" s="103">
        <f t="shared" si="76"/>
        <v>0</v>
      </c>
      <c r="T216" s="83">
        <f t="shared" si="77"/>
        <v>0</v>
      </c>
      <c r="U216" s="9" t="str">
        <f t="shared" si="87"/>
        <v>SEM VALOR</v>
      </c>
      <c r="V216" s="1" t="str">
        <f ca="1">IF(OR($A216=0,$A216="S",$A216&gt;CFF!$A$9),"",MAX(V$12:OFFSET(V216,-1,0))+1)</f>
        <v/>
      </c>
      <c r="W216" s="4" t="str">
        <f t="shared" si="88"/>
        <v>SINAPI-91845</v>
      </c>
      <c r="X216" s="1">
        <f t="shared" ca="1" si="78"/>
        <v>9326</v>
      </c>
      <c r="Y216" s="103">
        <v>11.51</v>
      </c>
      <c r="Z216" s="113">
        <f ca="1">ROUND(IF(ISNUMBER(R216),R216,IF(LEFT(R216,3)="BDI",HLOOKUP(R216,DADOS!$T$37:$X$38,2,FALSE),0)),15-11*$X$5)</f>
        <v>0.21390000000000001</v>
      </c>
      <c r="AA216" s="1"/>
    </row>
    <row r="217" spans="1:27" ht="25.5" x14ac:dyDescent="0.2">
      <c r="A217" t="str">
        <f t="shared" si="79"/>
        <v>S</v>
      </c>
      <c r="B217">
        <f t="shared" si="80"/>
        <v>0</v>
      </c>
      <c r="C217">
        <f t="shared" ca="1" si="81"/>
        <v>1</v>
      </c>
      <c r="D217">
        <f t="shared" ca="1" si="82"/>
        <v>9</v>
      </c>
      <c r="E217">
        <f t="shared" ca="1" si="83"/>
        <v>5</v>
      </c>
      <c r="F217">
        <f t="shared" ca="1" si="84"/>
        <v>0</v>
      </c>
      <c r="G217">
        <f t="shared" ca="1" si="85"/>
        <v>7</v>
      </c>
      <c r="H217">
        <f t="shared" ca="1" si="89"/>
        <v>0</v>
      </c>
      <c r="I217">
        <f t="shared" ca="1" si="90"/>
        <v>0</v>
      </c>
      <c r="J217" s="354" t="s">
        <v>103</v>
      </c>
      <c r="K217" s="138" t="str">
        <f t="shared" ca="1" si="86"/>
        <v>1.9.5.0.7.</v>
      </c>
      <c r="L217" s="356" t="s">
        <v>231</v>
      </c>
      <c r="M217" s="356" t="s">
        <v>320</v>
      </c>
      <c r="N217" s="357" t="s">
        <v>610</v>
      </c>
      <c r="O217" s="358" t="s">
        <v>632</v>
      </c>
      <c r="P217" s="359">
        <f>8/2*2</f>
        <v>8</v>
      </c>
      <c r="Q217" s="195"/>
      <c r="R217" s="198" t="s">
        <v>7</v>
      </c>
      <c r="S217" s="103">
        <f t="shared" si="76"/>
        <v>0</v>
      </c>
      <c r="T217" s="83">
        <f t="shared" si="77"/>
        <v>0</v>
      </c>
      <c r="U217" s="9" t="str">
        <f t="shared" si="87"/>
        <v>SEM VALOR</v>
      </c>
      <c r="V217" s="1" t="str">
        <f ca="1">IF(OR($A217=0,$A217="S",$A217&gt;CFF!$A$9),"",MAX(V$12:OFFSET(V217,-1,0))+1)</f>
        <v/>
      </c>
      <c r="W217" s="4" t="str">
        <f t="shared" si="88"/>
        <v>SINAPI-91855</v>
      </c>
      <c r="X217" s="1">
        <f t="shared" ca="1" si="78"/>
        <v>9327</v>
      </c>
      <c r="Y217" s="103">
        <v>15.16</v>
      </c>
      <c r="Z217" s="113">
        <f ca="1">ROUND(IF(ISNUMBER(R217),R217,IF(LEFT(R217,3)="BDI",HLOOKUP(R217,DADOS!$T$37:$X$38,2,FALSE),0)),15-11*$X$5)</f>
        <v>0.21390000000000001</v>
      </c>
      <c r="AA217" s="1"/>
    </row>
    <row r="218" spans="1:27" ht="25.5" x14ac:dyDescent="0.2">
      <c r="A218" t="str">
        <f t="shared" si="79"/>
        <v>S</v>
      </c>
      <c r="B218">
        <f t="shared" si="80"/>
        <v>0</v>
      </c>
      <c r="C218">
        <f t="shared" ca="1" si="81"/>
        <v>1</v>
      </c>
      <c r="D218">
        <f t="shared" ca="1" si="82"/>
        <v>9</v>
      </c>
      <c r="E218">
        <f t="shared" ca="1" si="83"/>
        <v>5</v>
      </c>
      <c r="F218">
        <f t="shared" ca="1" si="84"/>
        <v>0</v>
      </c>
      <c r="G218">
        <f t="shared" ca="1" si="85"/>
        <v>8</v>
      </c>
      <c r="H218">
        <f t="shared" ca="1" si="89"/>
        <v>0</v>
      </c>
      <c r="I218">
        <f t="shared" ca="1" si="90"/>
        <v>0</v>
      </c>
      <c r="J218" s="354" t="s">
        <v>103</v>
      </c>
      <c r="K218" s="138" t="str">
        <f t="shared" ca="1" si="86"/>
        <v>1.9.5.0.8.</v>
      </c>
      <c r="L218" s="356" t="s">
        <v>231</v>
      </c>
      <c r="M218" s="356" t="s">
        <v>303</v>
      </c>
      <c r="N218" s="357" t="s">
        <v>518</v>
      </c>
      <c r="O218" s="358" t="s">
        <v>632</v>
      </c>
      <c r="P218" s="359">
        <f>70/2*2</f>
        <v>70</v>
      </c>
      <c r="Q218" s="195"/>
      <c r="R218" s="198" t="s">
        <v>7</v>
      </c>
      <c r="S218" s="103">
        <f t="shared" si="76"/>
        <v>0</v>
      </c>
      <c r="T218" s="83">
        <f t="shared" si="77"/>
        <v>0</v>
      </c>
      <c r="U218" s="9" t="str">
        <f t="shared" si="87"/>
        <v>SEM VALOR</v>
      </c>
      <c r="V218" s="1" t="str">
        <f ca="1">IF(OR($A218=0,$A218="S",$A218&gt;CFF!$A$9),"",MAX(V$12:OFFSET(V218,-1,0))+1)</f>
        <v/>
      </c>
      <c r="W218" s="4" t="str">
        <f t="shared" si="88"/>
        <v>SINAPI-91926</v>
      </c>
      <c r="X218" s="1">
        <f t="shared" ca="1" si="78"/>
        <v>9264</v>
      </c>
      <c r="Y218" s="103">
        <v>5.39</v>
      </c>
      <c r="Z218" s="113">
        <f ca="1">ROUND(IF(ISNUMBER(R218),R218,IF(LEFT(R218,3)="BDI",HLOOKUP(R218,DADOS!$T$37:$X$38,2,FALSE),0)),15-11*$X$5)</f>
        <v>0.21390000000000001</v>
      </c>
      <c r="AA218" s="1"/>
    </row>
    <row r="219" spans="1:27" x14ac:dyDescent="0.2">
      <c r="A219" t="str">
        <f t="shared" si="79"/>
        <v>S</v>
      </c>
      <c r="B219">
        <f t="shared" si="80"/>
        <v>0</v>
      </c>
      <c r="C219">
        <f t="shared" ca="1" si="81"/>
        <v>1</v>
      </c>
      <c r="D219">
        <f t="shared" ca="1" si="82"/>
        <v>9</v>
      </c>
      <c r="E219">
        <f t="shared" ca="1" si="83"/>
        <v>5</v>
      </c>
      <c r="F219">
        <f t="shared" ca="1" si="84"/>
        <v>0</v>
      </c>
      <c r="G219">
        <f t="shared" ca="1" si="85"/>
        <v>9</v>
      </c>
      <c r="H219">
        <f t="shared" ca="1" si="89"/>
        <v>0</v>
      </c>
      <c r="I219">
        <f t="shared" ca="1" si="90"/>
        <v>0</v>
      </c>
      <c r="J219" s="354" t="s">
        <v>103</v>
      </c>
      <c r="K219" s="138" t="str">
        <f t="shared" ca="1" si="86"/>
        <v>1.9.5.0.9.</v>
      </c>
      <c r="L219" s="356" t="s">
        <v>231</v>
      </c>
      <c r="M219" s="356" t="s">
        <v>321</v>
      </c>
      <c r="N219" s="357" t="s">
        <v>611</v>
      </c>
      <c r="O219" s="358" t="s">
        <v>629</v>
      </c>
      <c r="P219" s="359">
        <f>2</f>
        <v>2</v>
      </c>
      <c r="Q219" s="195"/>
      <c r="R219" s="198" t="s">
        <v>7</v>
      </c>
      <c r="S219" s="103">
        <f t="shared" si="76"/>
        <v>0</v>
      </c>
      <c r="T219" s="83">
        <f t="shared" si="77"/>
        <v>0</v>
      </c>
      <c r="U219" s="9" t="str">
        <f t="shared" si="87"/>
        <v>SEM VALOR</v>
      </c>
      <c r="V219" s="1" t="str">
        <f ca="1">IF(OR($A219=0,$A219="S",$A219&gt;CFF!$A$9),"",MAX(V$12:OFFSET(V219,-1,0))+1)</f>
        <v/>
      </c>
      <c r="W219" s="4" t="str">
        <f t="shared" si="88"/>
        <v>SINAPI-92866</v>
      </c>
      <c r="X219" s="1">
        <f t="shared" ca="1" si="78"/>
        <v>9290</v>
      </c>
      <c r="Y219" s="103">
        <v>16.809999999999999</v>
      </c>
      <c r="Z219" s="113">
        <f ca="1">ROUND(IF(ISNUMBER(R219),R219,IF(LEFT(R219,3)="BDI",HLOOKUP(R219,DADOS!$T$37:$X$38,2,FALSE),0)),15-11*$X$5)</f>
        <v>0.21390000000000001</v>
      </c>
      <c r="AA219" s="1"/>
    </row>
    <row r="220" spans="1:27" ht="25.5" x14ac:dyDescent="0.2">
      <c r="A220" t="str">
        <f t="shared" si="79"/>
        <v>S</v>
      </c>
      <c r="B220">
        <f t="shared" si="80"/>
        <v>0</v>
      </c>
      <c r="C220">
        <f t="shared" ca="1" si="81"/>
        <v>1</v>
      </c>
      <c r="D220">
        <f t="shared" ca="1" si="82"/>
        <v>9</v>
      </c>
      <c r="E220">
        <f t="shared" ca="1" si="83"/>
        <v>5</v>
      </c>
      <c r="F220">
        <f t="shared" ca="1" si="84"/>
        <v>0</v>
      </c>
      <c r="G220">
        <f t="shared" ca="1" si="85"/>
        <v>10</v>
      </c>
      <c r="H220">
        <f t="shared" ca="1" si="89"/>
        <v>0</v>
      </c>
      <c r="I220">
        <f t="shared" ca="1" si="90"/>
        <v>0</v>
      </c>
      <c r="J220" s="354" t="s">
        <v>103</v>
      </c>
      <c r="K220" s="138" t="str">
        <f t="shared" ca="1" si="86"/>
        <v>1.9.5.0.10.</v>
      </c>
      <c r="L220" s="356" t="s">
        <v>231</v>
      </c>
      <c r="M220" s="356" t="s">
        <v>304</v>
      </c>
      <c r="N220" s="357" t="s">
        <v>547</v>
      </c>
      <c r="O220" s="358" t="s">
        <v>629</v>
      </c>
      <c r="P220" s="359">
        <f>4/2*2</f>
        <v>4</v>
      </c>
      <c r="Q220" s="195"/>
      <c r="R220" s="198" t="s">
        <v>7</v>
      </c>
      <c r="S220" s="103">
        <f t="shared" si="76"/>
        <v>0</v>
      </c>
      <c r="T220" s="83">
        <f t="shared" si="77"/>
        <v>0</v>
      </c>
      <c r="U220" s="9" t="str">
        <f t="shared" si="87"/>
        <v>SEM VALOR</v>
      </c>
      <c r="V220" s="1" t="str">
        <f ca="1">IF(OR($A220=0,$A220="S",$A220&gt;CFF!$A$9),"",MAX(V$12:OFFSET(V220,-1,0))+1)</f>
        <v/>
      </c>
      <c r="W220" s="4" t="str">
        <f t="shared" si="88"/>
        <v>SINAPI-92023</v>
      </c>
      <c r="X220" s="1">
        <f t="shared" ca="1" si="78"/>
        <v>9381</v>
      </c>
      <c r="Y220" s="103">
        <v>68.760000000000005</v>
      </c>
      <c r="Z220" s="113">
        <f ca="1">ROUND(IF(ISNUMBER(R220),R220,IF(LEFT(R220,3)="BDI",HLOOKUP(R220,DADOS!$T$37:$X$38,2,FALSE),0)),15-11*$X$5)</f>
        <v>0.21390000000000001</v>
      </c>
      <c r="AA220" s="1"/>
    </row>
    <row r="221" spans="1:27" ht="25.5" x14ac:dyDescent="0.2">
      <c r="A221" t="str">
        <f t="shared" si="79"/>
        <v>S</v>
      </c>
      <c r="B221">
        <f t="shared" si="80"/>
        <v>0</v>
      </c>
      <c r="C221">
        <f t="shared" ca="1" si="81"/>
        <v>1</v>
      </c>
      <c r="D221">
        <f t="shared" ca="1" si="82"/>
        <v>9</v>
      </c>
      <c r="E221">
        <f t="shared" ca="1" si="83"/>
        <v>5</v>
      </c>
      <c r="F221">
        <f t="shared" ca="1" si="84"/>
        <v>0</v>
      </c>
      <c r="G221">
        <f t="shared" ca="1" si="85"/>
        <v>11</v>
      </c>
      <c r="H221">
        <f t="shared" ca="1" si="89"/>
        <v>0</v>
      </c>
      <c r="I221">
        <f t="shared" ca="1" si="90"/>
        <v>0</v>
      </c>
      <c r="J221" s="354" t="s">
        <v>103</v>
      </c>
      <c r="K221" s="138" t="str">
        <f t="shared" ca="1" si="86"/>
        <v>1.9.5.0.11.</v>
      </c>
      <c r="L221" s="356" t="s">
        <v>237</v>
      </c>
      <c r="M221" s="356" t="s">
        <v>350</v>
      </c>
      <c r="N221" s="357" t="s">
        <v>612</v>
      </c>
      <c r="O221" s="358" t="s">
        <v>629</v>
      </c>
      <c r="P221" s="359">
        <f>4/2*2</f>
        <v>4</v>
      </c>
      <c r="Q221" s="195"/>
      <c r="R221" s="198" t="s">
        <v>7</v>
      </c>
      <c r="S221" s="103">
        <f t="shared" si="76"/>
        <v>0</v>
      </c>
      <c r="T221" s="83">
        <f t="shared" si="77"/>
        <v>0</v>
      </c>
      <c r="U221" s="9" t="str">
        <f t="shared" si="87"/>
        <v>SEM VALOR</v>
      </c>
      <c r="V221" s="1" t="str">
        <f ca="1">IF(OR($A221=0,$A221="S",$A221&gt;CFF!$A$9),"",MAX(V$12:OFFSET(V221,-1,0))+1)</f>
        <v/>
      </c>
      <c r="W221" s="4" t="str">
        <f t="shared" si="88"/>
        <v>PM BENTO-164</v>
      </c>
      <c r="X221" s="1">
        <f t="shared" ca="1" si="78"/>
        <v>92</v>
      </c>
      <c r="Y221" s="103">
        <v>58.19</v>
      </c>
      <c r="Z221" s="113">
        <f ca="1">ROUND(IF(ISNUMBER(R221),R221,IF(LEFT(R221,3)="BDI",HLOOKUP(R221,DADOS!$T$37:$X$38,2,FALSE),0)),15-11*$X$5)</f>
        <v>0.21390000000000001</v>
      </c>
      <c r="AA221" s="1"/>
    </row>
    <row r="222" spans="1:27" x14ac:dyDescent="0.2">
      <c r="A222">
        <f t="shared" si="79"/>
        <v>2</v>
      </c>
      <c r="B222">
        <f t="shared" ca="1" si="80"/>
        <v>8</v>
      </c>
      <c r="C222">
        <f t="shared" ca="1" si="81"/>
        <v>1</v>
      </c>
      <c r="D222">
        <f t="shared" ca="1" si="82"/>
        <v>10</v>
      </c>
      <c r="E222">
        <f t="shared" ca="1" si="83"/>
        <v>0</v>
      </c>
      <c r="F222">
        <f t="shared" ca="1" si="84"/>
        <v>0</v>
      </c>
      <c r="G222">
        <f t="shared" ca="1" si="85"/>
        <v>0</v>
      </c>
      <c r="H222">
        <f t="shared" ca="1" si="89"/>
        <v>20</v>
      </c>
      <c r="I222">
        <f t="shared" ca="1" si="90"/>
        <v>8</v>
      </c>
      <c r="J222" s="353" t="s">
        <v>100</v>
      </c>
      <c r="K222" s="138" t="str">
        <f t="shared" ca="1" si="86"/>
        <v>1.10.</v>
      </c>
      <c r="L222" s="355"/>
      <c r="M222" s="355"/>
      <c r="N222" s="357" t="s">
        <v>432</v>
      </c>
      <c r="O222" s="358" t="s">
        <v>106</v>
      </c>
      <c r="P222" s="359"/>
      <c r="Q222" s="195"/>
      <c r="R222" s="198" t="s">
        <v>7</v>
      </c>
      <c r="S222" s="103">
        <f t="shared" si="76"/>
        <v>0</v>
      </c>
      <c r="T222" s="83">
        <f t="shared" ca="1" si="77"/>
        <v>0</v>
      </c>
      <c r="U222" s="9" t="str">
        <f t="shared" ca="1" si="87"/>
        <v>SEM VALOR</v>
      </c>
      <c r="V222" s="1" t="str">
        <f ca="1">IF(OR($A222=0,$A222="S",$A222&gt;CFF!$A$9),"",MAX(V$12:OFFSET(V222,-1,0))+1)</f>
        <v/>
      </c>
      <c r="W222" s="4" t="b">
        <f t="shared" si="88"/>
        <v>0</v>
      </c>
      <c r="X222" s="1" t="str">
        <f t="shared" ca="1" si="78"/>
        <v>X</v>
      </c>
      <c r="Y222" s="103">
        <v>0</v>
      </c>
      <c r="Z222" s="113">
        <f ca="1">ROUND(IF(ISNUMBER(R222),R222,IF(LEFT(R222,3)="BDI",HLOOKUP(R222,DADOS!$T$37:$X$38,2,FALSE),0)),15-11*$X$5)</f>
        <v>0.21390000000000001</v>
      </c>
      <c r="AA222" s="1"/>
    </row>
    <row r="223" spans="1:27" x14ac:dyDescent="0.2">
      <c r="A223" t="str">
        <f t="shared" si="79"/>
        <v>S</v>
      </c>
      <c r="B223">
        <f t="shared" si="80"/>
        <v>0</v>
      </c>
      <c r="C223">
        <f t="shared" ca="1" si="81"/>
        <v>1</v>
      </c>
      <c r="D223">
        <f t="shared" ca="1" si="82"/>
        <v>10</v>
      </c>
      <c r="E223">
        <f t="shared" ca="1" si="83"/>
        <v>0</v>
      </c>
      <c r="F223">
        <f t="shared" ca="1" si="84"/>
        <v>0</v>
      </c>
      <c r="G223">
        <f t="shared" ca="1" si="85"/>
        <v>1</v>
      </c>
      <c r="H223">
        <f t="shared" ca="1" si="89"/>
        <v>0</v>
      </c>
      <c r="I223">
        <f t="shared" ca="1" si="90"/>
        <v>0</v>
      </c>
      <c r="J223" s="353" t="s">
        <v>103</v>
      </c>
      <c r="K223" s="138" t="str">
        <f t="shared" ca="1" si="86"/>
        <v>1.10.0.0.1.</v>
      </c>
      <c r="L223" s="355" t="s">
        <v>231</v>
      </c>
      <c r="M223" s="355" t="s">
        <v>430</v>
      </c>
      <c r="N223" s="357" t="s">
        <v>613</v>
      </c>
      <c r="O223" s="358" t="s">
        <v>628</v>
      </c>
      <c r="P223" s="359">
        <v>4</v>
      </c>
      <c r="Q223" s="195"/>
      <c r="R223" s="198" t="s">
        <v>7</v>
      </c>
      <c r="S223" s="103">
        <f t="shared" si="76"/>
        <v>0</v>
      </c>
      <c r="T223" s="83">
        <f t="shared" si="77"/>
        <v>0</v>
      </c>
      <c r="U223" s="9" t="str">
        <f t="shared" si="87"/>
        <v>SEM VALOR</v>
      </c>
      <c r="V223" s="1" t="str">
        <f ca="1">IF(OR($A223=0,$A223="S",$A223&gt;CFF!$A$9),"",MAX(V$12:OFFSET(V223,-1,0))+1)</f>
        <v/>
      </c>
      <c r="W223" s="4" t="str">
        <f t="shared" si="88"/>
        <v>SINAPI-97631</v>
      </c>
      <c r="X223" s="1">
        <f t="shared" ca="1" si="78"/>
        <v>6760</v>
      </c>
      <c r="Y223" s="103">
        <v>14.85</v>
      </c>
      <c r="Z223" s="113">
        <f ca="1">ROUND(IF(ISNUMBER(R223),R223,IF(LEFT(R223,3)="BDI",HLOOKUP(R223,DADOS!$T$37:$X$38,2,FALSE),0)),15-11*$X$5)</f>
        <v>0.21390000000000001</v>
      </c>
      <c r="AA223" s="1"/>
    </row>
    <row r="224" spans="1:27" ht="25.5" x14ac:dyDescent="0.2">
      <c r="A224" t="str">
        <f t="shared" si="79"/>
        <v>S</v>
      </c>
      <c r="B224">
        <f t="shared" si="80"/>
        <v>0</v>
      </c>
      <c r="C224">
        <f t="shared" ca="1" si="81"/>
        <v>1</v>
      </c>
      <c r="D224">
        <f t="shared" ca="1" si="82"/>
        <v>10</v>
      </c>
      <c r="E224">
        <f t="shared" ca="1" si="83"/>
        <v>0</v>
      </c>
      <c r="F224">
        <f t="shared" ca="1" si="84"/>
        <v>0</v>
      </c>
      <c r="G224">
        <f t="shared" ca="1" si="85"/>
        <v>2</v>
      </c>
      <c r="H224">
        <f t="shared" ca="1" si="89"/>
        <v>0</v>
      </c>
      <c r="I224">
        <f t="shared" ca="1" si="90"/>
        <v>0</v>
      </c>
      <c r="J224" s="353" t="s">
        <v>103</v>
      </c>
      <c r="K224" s="138" t="str">
        <f t="shared" ca="1" si="86"/>
        <v>1.10.0.0.2.</v>
      </c>
      <c r="L224" s="355" t="s">
        <v>231</v>
      </c>
      <c r="M224" s="355" t="s">
        <v>431</v>
      </c>
      <c r="N224" s="357" t="s">
        <v>614</v>
      </c>
      <c r="O224" s="358" t="s">
        <v>632</v>
      </c>
      <c r="P224" s="359">
        <v>5</v>
      </c>
      <c r="Q224" s="195"/>
      <c r="R224" s="198" t="s">
        <v>7</v>
      </c>
      <c r="S224" s="103">
        <f t="shared" si="76"/>
        <v>0</v>
      </c>
      <c r="T224" s="83">
        <f t="shared" si="77"/>
        <v>0</v>
      </c>
      <c r="U224" s="9" t="str">
        <f t="shared" si="87"/>
        <v>SEM VALOR</v>
      </c>
      <c r="V224" s="1" t="str">
        <f ca="1">IF(OR($A224=0,$A224="S",$A224&gt;CFF!$A$9),"",MAX(V$12:OFFSET(V224,-1,0))+1)</f>
        <v/>
      </c>
      <c r="W224" s="4" t="str">
        <f t="shared" si="88"/>
        <v>SINAPI-98575</v>
      </c>
      <c r="X224" s="1">
        <f t="shared" ca="1" si="78"/>
        <v>9251</v>
      </c>
      <c r="Y224" s="103">
        <v>84.6</v>
      </c>
      <c r="Z224" s="113">
        <f ca="1">ROUND(IF(ISNUMBER(R224),R224,IF(LEFT(R224,3)="BDI",HLOOKUP(R224,DADOS!$T$37:$X$38,2,FALSE),0)),15-11*$X$5)</f>
        <v>0.21390000000000001</v>
      </c>
      <c r="AA224" s="1"/>
    </row>
    <row r="225" spans="1:27" ht="25.5" x14ac:dyDescent="0.2">
      <c r="A225" t="str">
        <f t="shared" si="79"/>
        <v>S</v>
      </c>
      <c r="B225">
        <f t="shared" si="80"/>
        <v>0</v>
      </c>
      <c r="C225">
        <f t="shared" ca="1" si="81"/>
        <v>1</v>
      </c>
      <c r="D225">
        <f t="shared" ca="1" si="82"/>
        <v>10</v>
      </c>
      <c r="E225">
        <f t="shared" ca="1" si="83"/>
        <v>0</v>
      </c>
      <c r="F225">
        <f t="shared" ca="1" si="84"/>
        <v>0</v>
      </c>
      <c r="G225">
        <f t="shared" ca="1" si="85"/>
        <v>3</v>
      </c>
      <c r="H225">
        <f t="shared" ca="1" si="89"/>
        <v>0</v>
      </c>
      <c r="I225">
        <f t="shared" ca="1" si="90"/>
        <v>0</v>
      </c>
      <c r="J225" s="353" t="s">
        <v>103</v>
      </c>
      <c r="K225" s="138" t="str">
        <f t="shared" ca="1" si="86"/>
        <v>1.10.0.0.3.</v>
      </c>
      <c r="L225" s="355" t="s">
        <v>231</v>
      </c>
      <c r="M225" s="355" t="s">
        <v>425</v>
      </c>
      <c r="N225" s="357" t="s">
        <v>615</v>
      </c>
      <c r="O225" s="358" t="s">
        <v>628</v>
      </c>
      <c r="P225" s="359">
        <v>4</v>
      </c>
      <c r="Q225" s="195"/>
      <c r="R225" s="198" t="s">
        <v>7</v>
      </c>
      <c r="S225" s="103">
        <f t="shared" si="76"/>
        <v>0</v>
      </c>
      <c r="T225" s="83">
        <f t="shared" si="77"/>
        <v>0</v>
      </c>
      <c r="U225" s="9" t="str">
        <f t="shared" si="87"/>
        <v>SEM VALOR</v>
      </c>
      <c r="V225" s="1" t="str">
        <f ca="1">IF(OR($A225=0,$A225="S",$A225&gt;CFF!$A$9),"",MAX(V$12:OFFSET(V225,-1,0))+1)</f>
        <v/>
      </c>
      <c r="W225" s="4" t="str">
        <f t="shared" si="88"/>
        <v>SINAPI-87894</v>
      </c>
      <c r="X225" s="1">
        <f t="shared" ca="1" si="78"/>
        <v>6179</v>
      </c>
      <c r="Y225" s="103">
        <v>8.86</v>
      </c>
      <c r="Z225" s="113">
        <f ca="1">ROUND(IF(ISNUMBER(R225),R225,IF(LEFT(R225,3)="BDI",HLOOKUP(R225,DADOS!$T$37:$X$38,2,FALSE),0)),15-11*$X$5)</f>
        <v>0.21390000000000001</v>
      </c>
      <c r="AA225" s="1"/>
    </row>
    <row r="226" spans="1:27" ht="38.25" x14ac:dyDescent="0.2">
      <c r="A226" t="str">
        <f t="shared" si="79"/>
        <v>S</v>
      </c>
      <c r="B226">
        <f t="shared" si="80"/>
        <v>0</v>
      </c>
      <c r="C226">
        <f t="shared" ca="1" si="81"/>
        <v>1</v>
      </c>
      <c r="D226">
        <f t="shared" ca="1" si="82"/>
        <v>10</v>
      </c>
      <c r="E226">
        <f t="shared" ca="1" si="83"/>
        <v>0</v>
      </c>
      <c r="F226">
        <f t="shared" ca="1" si="84"/>
        <v>0</v>
      </c>
      <c r="G226">
        <f t="shared" ca="1" si="85"/>
        <v>4</v>
      </c>
      <c r="H226">
        <f t="shared" ca="1" si="89"/>
        <v>0</v>
      </c>
      <c r="I226">
        <f t="shared" ca="1" si="90"/>
        <v>0</v>
      </c>
      <c r="J226" s="353" t="s">
        <v>103</v>
      </c>
      <c r="K226" s="138" t="str">
        <f t="shared" ca="1" si="86"/>
        <v>1.10.0.0.4.</v>
      </c>
      <c r="L226" s="355" t="s">
        <v>231</v>
      </c>
      <c r="M226" s="355" t="s">
        <v>426</v>
      </c>
      <c r="N226" s="357" t="s">
        <v>616</v>
      </c>
      <c r="O226" s="358" t="s">
        <v>628</v>
      </c>
      <c r="P226" s="359">
        <v>4</v>
      </c>
      <c r="Q226" s="195"/>
      <c r="R226" s="198" t="s">
        <v>7</v>
      </c>
      <c r="S226" s="103">
        <f t="shared" si="76"/>
        <v>0</v>
      </c>
      <c r="T226" s="83">
        <f t="shared" si="77"/>
        <v>0</v>
      </c>
      <c r="U226" s="9" t="str">
        <f t="shared" si="87"/>
        <v>SEM VALOR</v>
      </c>
      <c r="V226" s="1" t="str">
        <f ca="1">IF(OR($A226=0,$A226="S",$A226&gt;CFF!$A$9),"",MAX(V$12:OFFSET(V226,-1,0))+1)</f>
        <v/>
      </c>
      <c r="W226" s="4" t="str">
        <f t="shared" si="88"/>
        <v>SINAPI-87775</v>
      </c>
      <c r="X226" s="1">
        <f t="shared" ca="1" si="78"/>
        <v>12273</v>
      </c>
      <c r="Y226" s="103">
        <v>69.33</v>
      </c>
      <c r="Z226" s="113">
        <f ca="1">ROUND(IF(ISNUMBER(R226),R226,IF(LEFT(R226,3)="BDI",HLOOKUP(R226,DADOS!$T$37:$X$38,2,FALSE),0)),15-11*$X$5)</f>
        <v>0.21390000000000001</v>
      </c>
      <c r="AA226" s="1"/>
    </row>
    <row r="227" spans="1:27" x14ac:dyDescent="0.2">
      <c r="A227" t="str">
        <f t="shared" si="79"/>
        <v>S</v>
      </c>
      <c r="B227">
        <f t="shared" si="80"/>
        <v>0</v>
      </c>
      <c r="C227">
        <f t="shared" ca="1" si="81"/>
        <v>1</v>
      </c>
      <c r="D227">
        <f t="shared" ca="1" si="82"/>
        <v>10</v>
      </c>
      <c r="E227">
        <f t="shared" ca="1" si="83"/>
        <v>0</v>
      </c>
      <c r="F227">
        <f t="shared" ca="1" si="84"/>
        <v>0</v>
      </c>
      <c r="G227">
        <f t="shared" ca="1" si="85"/>
        <v>5</v>
      </c>
      <c r="H227">
        <f t="shared" ca="1" si="89"/>
        <v>0</v>
      </c>
      <c r="I227">
        <f t="shared" ca="1" si="90"/>
        <v>0</v>
      </c>
      <c r="J227" s="353" t="s">
        <v>103</v>
      </c>
      <c r="K227" s="138" t="str">
        <f t="shared" ca="1" si="86"/>
        <v>1.10.0.0.5.</v>
      </c>
      <c r="L227" s="355" t="s">
        <v>231</v>
      </c>
      <c r="M227" s="355" t="s">
        <v>427</v>
      </c>
      <c r="N227" s="357" t="s">
        <v>617</v>
      </c>
      <c r="O227" s="358" t="s">
        <v>628</v>
      </c>
      <c r="P227" s="359">
        <f>2.85*2*2</f>
        <v>11.4</v>
      </c>
      <c r="Q227" s="195"/>
      <c r="R227" s="198" t="s">
        <v>7</v>
      </c>
      <c r="S227" s="103">
        <f t="shared" si="76"/>
        <v>0</v>
      </c>
      <c r="T227" s="83">
        <f t="shared" si="77"/>
        <v>0</v>
      </c>
      <c r="U227" s="9" t="str">
        <f t="shared" si="87"/>
        <v>SEM VALOR</v>
      </c>
      <c r="V227" s="1" t="str">
        <f ca="1">IF(OR($A227=0,$A227="S",$A227&gt;CFF!$A$9),"",MAX(V$12:OFFSET(V227,-1,0))+1)</f>
        <v/>
      </c>
      <c r="W227" s="4" t="str">
        <f t="shared" si="88"/>
        <v>SINAPI-88415</v>
      </c>
      <c r="X227" s="1">
        <f t="shared" ca="1" si="78"/>
        <v>12712</v>
      </c>
      <c r="Y227" s="103">
        <v>5.47</v>
      </c>
      <c r="Z227" s="113">
        <f ca="1">ROUND(IF(ISNUMBER(R227),R227,IF(LEFT(R227,3)="BDI",HLOOKUP(R227,DADOS!$T$37:$X$38,2,FALSE),0)),15-11*$X$5)</f>
        <v>0.21390000000000001</v>
      </c>
      <c r="AA227" s="1"/>
    </row>
    <row r="228" spans="1:27" x14ac:dyDescent="0.2">
      <c r="A228" t="str">
        <f t="shared" si="79"/>
        <v>S</v>
      </c>
      <c r="B228">
        <f t="shared" si="80"/>
        <v>0</v>
      </c>
      <c r="C228">
        <f t="shared" ca="1" si="81"/>
        <v>1</v>
      </c>
      <c r="D228">
        <f t="shared" ca="1" si="82"/>
        <v>10</v>
      </c>
      <c r="E228">
        <f t="shared" ca="1" si="83"/>
        <v>0</v>
      </c>
      <c r="F228">
        <f t="shared" ca="1" si="84"/>
        <v>0</v>
      </c>
      <c r="G228">
        <f t="shared" ca="1" si="85"/>
        <v>6</v>
      </c>
      <c r="H228">
        <f t="shared" ca="1" si="89"/>
        <v>0</v>
      </c>
      <c r="I228">
        <f t="shared" ca="1" si="90"/>
        <v>0</v>
      </c>
      <c r="J228" s="353" t="s">
        <v>103</v>
      </c>
      <c r="K228" s="138" t="str">
        <f t="shared" ca="1" si="86"/>
        <v>1.10.0.0.6.</v>
      </c>
      <c r="L228" s="355" t="s">
        <v>231</v>
      </c>
      <c r="M228" s="355" t="s">
        <v>428</v>
      </c>
      <c r="N228" s="357" t="s">
        <v>618</v>
      </c>
      <c r="O228" s="358" t="s">
        <v>628</v>
      </c>
      <c r="P228" s="359">
        <f>P227</f>
        <v>11.4</v>
      </c>
      <c r="Q228" s="195"/>
      <c r="R228" s="198" t="s">
        <v>7</v>
      </c>
      <c r="S228" s="103">
        <f t="shared" si="76"/>
        <v>0</v>
      </c>
      <c r="T228" s="83">
        <f t="shared" si="77"/>
        <v>0</v>
      </c>
      <c r="U228" s="9" t="str">
        <f t="shared" si="87"/>
        <v>SEM VALOR</v>
      </c>
      <c r="V228" s="1" t="str">
        <f ca="1">IF(OR($A228=0,$A228="S",$A228&gt;CFF!$A$9),"",MAX(V$12:OFFSET(V228,-1,0))+1)</f>
        <v/>
      </c>
      <c r="W228" s="4" t="str">
        <f t="shared" si="88"/>
        <v>SINAPI-96135</v>
      </c>
      <c r="X228" s="1">
        <f t="shared" ca="1" si="78"/>
        <v>12719</v>
      </c>
      <c r="Y228" s="103">
        <v>37.380000000000003</v>
      </c>
      <c r="Z228" s="113">
        <f ca="1">ROUND(IF(ISNUMBER(R228),R228,IF(LEFT(R228,3)="BDI",HLOOKUP(R228,DADOS!$T$37:$X$38,2,FALSE),0)),15-11*$X$5)</f>
        <v>0.21390000000000001</v>
      </c>
      <c r="AA228" s="1"/>
    </row>
    <row r="229" spans="1:27" x14ac:dyDescent="0.2">
      <c r="A229" t="str">
        <f t="shared" si="79"/>
        <v>S</v>
      </c>
      <c r="B229">
        <f t="shared" si="80"/>
        <v>0</v>
      </c>
      <c r="C229">
        <f t="shared" ca="1" si="81"/>
        <v>1</v>
      </c>
      <c r="D229">
        <f t="shared" ca="1" si="82"/>
        <v>10</v>
      </c>
      <c r="E229">
        <f t="shared" ca="1" si="83"/>
        <v>0</v>
      </c>
      <c r="F229">
        <f t="shared" ca="1" si="84"/>
        <v>0</v>
      </c>
      <c r="G229">
        <f t="shared" ca="1" si="85"/>
        <v>7</v>
      </c>
      <c r="H229">
        <f t="shared" ca="1" si="89"/>
        <v>0</v>
      </c>
      <c r="I229">
        <f t="shared" ca="1" si="90"/>
        <v>0</v>
      </c>
      <c r="J229" s="353" t="s">
        <v>103</v>
      </c>
      <c r="K229" s="138" t="str">
        <f t="shared" ca="1" si="86"/>
        <v>1.10.0.0.7.</v>
      </c>
      <c r="L229" s="355" t="s">
        <v>231</v>
      </c>
      <c r="M229" s="355" t="s">
        <v>429</v>
      </c>
      <c r="N229" s="357" t="s">
        <v>619</v>
      </c>
      <c r="O229" s="358" t="s">
        <v>628</v>
      </c>
      <c r="P229" s="359">
        <f>P228</f>
        <v>11.4</v>
      </c>
      <c r="Q229" s="195"/>
      <c r="R229" s="198" t="s">
        <v>7</v>
      </c>
      <c r="S229" s="103">
        <f t="shared" si="76"/>
        <v>0</v>
      </c>
      <c r="T229" s="83">
        <f t="shared" si="77"/>
        <v>0</v>
      </c>
      <c r="U229" s="9" t="str">
        <f t="shared" si="87"/>
        <v>SEM VALOR</v>
      </c>
      <c r="V229" s="1" t="str">
        <f ca="1">IF(OR($A229=0,$A229="S",$A229&gt;CFF!$A$9),"",MAX(V$12:OFFSET(V229,-1,0))+1)</f>
        <v/>
      </c>
      <c r="W229" s="4" t="str">
        <f t="shared" si="88"/>
        <v>SINAPI-95626</v>
      </c>
      <c r="X229" s="1">
        <f t="shared" ca="1" si="78"/>
        <v>12738</v>
      </c>
      <c r="Y229" s="103">
        <v>20.48</v>
      </c>
      <c r="Z229" s="113">
        <f ca="1">ROUND(IF(ISNUMBER(R229),R229,IF(LEFT(R229,3)="BDI",HLOOKUP(R229,DADOS!$T$37:$X$38,2,FALSE),0)),15-11*$X$5)</f>
        <v>0.21390000000000001</v>
      </c>
      <c r="AA229" s="1"/>
    </row>
    <row r="230" spans="1:27" x14ac:dyDescent="0.2">
      <c r="A230">
        <f t="shared" si="79"/>
        <v>2</v>
      </c>
      <c r="B230">
        <f t="shared" ca="1" si="80"/>
        <v>7</v>
      </c>
      <c r="C230">
        <f t="shared" ca="1" si="81"/>
        <v>1</v>
      </c>
      <c r="D230">
        <f t="shared" ca="1" si="82"/>
        <v>11</v>
      </c>
      <c r="E230">
        <f t="shared" ca="1" si="83"/>
        <v>0</v>
      </c>
      <c r="F230">
        <f t="shared" ca="1" si="84"/>
        <v>0</v>
      </c>
      <c r="G230">
        <f t="shared" ca="1" si="85"/>
        <v>0</v>
      </c>
      <c r="H230">
        <f t="shared" ca="1" si="89"/>
        <v>12</v>
      </c>
      <c r="I230">
        <f t="shared" ca="1" si="90"/>
        <v>7</v>
      </c>
      <c r="J230" s="353" t="s">
        <v>100</v>
      </c>
      <c r="K230" s="138" t="str">
        <f t="shared" ca="1" si="86"/>
        <v>1.11.</v>
      </c>
      <c r="L230" s="355"/>
      <c r="M230" s="355"/>
      <c r="N230" s="357" t="s">
        <v>335</v>
      </c>
      <c r="O230" s="358" t="s">
        <v>106</v>
      </c>
      <c r="P230" s="359"/>
      <c r="Q230" s="195"/>
      <c r="R230" s="198" t="s">
        <v>7</v>
      </c>
      <c r="S230" s="103">
        <f t="shared" si="76"/>
        <v>0</v>
      </c>
      <c r="T230" s="83">
        <f t="shared" ca="1" si="77"/>
        <v>0</v>
      </c>
      <c r="U230" s="9" t="str">
        <f t="shared" ca="1" si="87"/>
        <v>SEM VALOR</v>
      </c>
      <c r="V230" s="1" t="str">
        <f ca="1">IF(OR($A230=0,$A230="S",$A230&gt;CFF!$A$9),"",MAX(V$12:OFFSET(V230,-1,0))+1)</f>
        <v/>
      </c>
      <c r="W230" s="4" t="b">
        <f t="shared" si="88"/>
        <v>0</v>
      </c>
      <c r="X230" s="1" t="str">
        <f t="shared" ca="1" si="78"/>
        <v>X</v>
      </c>
      <c r="Y230" s="103">
        <v>0</v>
      </c>
      <c r="Z230" s="113">
        <f ca="1">ROUND(IF(ISNUMBER(R230),R230,IF(LEFT(R230,3)="BDI",HLOOKUP(R230,DADOS!$T$37:$X$38,2,FALSE),0)),15-11*$X$5)</f>
        <v>0.21390000000000001</v>
      </c>
      <c r="AA230" s="1"/>
    </row>
    <row r="231" spans="1:27" ht="25.5" x14ac:dyDescent="0.2">
      <c r="A231" t="str">
        <f t="shared" si="79"/>
        <v>S</v>
      </c>
      <c r="B231">
        <f t="shared" si="80"/>
        <v>0</v>
      </c>
      <c r="C231">
        <f t="shared" ca="1" si="81"/>
        <v>1</v>
      </c>
      <c r="D231">
        <f t="shared" ca="1" si="82"/>
        <v>11</v>
      </c>
      <c r="E231">
        <f t="shared" ca="1" si="83"/>
        <v>0</v>
      </c>
      <c r="F231">
        <f t="shared" ca="1" si="84"/>
        <v>0</v>
      </c>
      <c r="G231">
        <f t="shared" ca="1" si="85"/>
        <v>1</v>
      </c>
      <c r="H231">
        <f t="shared" ca="1" si="89"/>
        <v>0</v>
      </c>
      <c r="I231">
        <f t="shared" ca="1" si="90"/>
        <v>0</v>
      </c>
      <c r="J231" s="353" t="s">
        <v>103</v>
      </c>
      <c r="K231" s="138" t="str">
        <f t="shared" ca="1" si="86"/>
        <v>1.11.0.0.1.</v>
      </c>
      <c r="L231" s="355" t="s">
        <v>231</v>
      </c>
      <c r="M231" s="355" t="s">
        <v>341</v>
      </c>
      <c r="N231" s="357" t="s">
        <v>620</v>
      </c>
      <c r="O231" s="358" t="s">
        <v>636</v>
      </c>
      <c r="P231" s="359">
        <f>((4.5+1.28)*0.1)-((4.5+1.28)*0.1)+((4.5+2)*0.1)</f>
        <v>0.65</v>
      </c>
      <c r="Q231" s="195"/>
      <c r="R231" s="198" t="s">
        <v>7</v>
      </c>
      <c r="S231" s="103">
        <f t="shared" si="76"/>
        <v>0</v>
      </c>
      <c r="T231" s="83">
        <f t="shared" si="77"/>
        <v>0</v>
      </c>
      <c r="U231" s="9" t="str">
        <f t="shared" si="87"/>
        <v>SEM VALOR</v>
      </c>
      <c r="V231" s="1" t="str">
        <f ca="1">IF(OR($A231=0,$A231="S",$A231&gt;CFF!$A$9),"",MAX(V$12:OFFSET(V231,-1,0))+1)</f>
        <v/>
      </c>
      <c r="W231" s="4" t="str">
        <f t="shared" si="88"/>
        <v>SINAPI-101849</v>
      </c>
      <c r="X231" s="1">
        <f t="shared" ca="1" si="78"/>
        <v>13410</v>
      </c>
      <c r="Y231" s="103">
        <v>216.03</v>
      </c>
      <c r="Z231" s="113">
        <f ca="1">ROUND(IF(ISNUMBER(R231),R231,IF(LEFT(R231,3)="BDI",HLOOKUP(R231,DADOS!$T$37:$X$38,2,FALSE),0)),15-11*$X$5)</f>
        <v>0.21390000000000001</v>
      </c>
      <c r="AA231" s="1"/>
    </row>
    <row r="232" spans="1:27" ht="38.25" x14ac:dyDescent="0.2">
      <c r="A232" t="str">
        <f t="shared" si="79"/>
        <v>S</v>
      </c>
      <c r="B232">
        <f t="shared" si="80"/>
        <v>0</v>
      </c>
      <c r="C232">
        <f t="shared" ca="1" si="81"/>
        <v>1</v>
      </c>
      <c r="D232">
        <f t="shared" ca="1" si="82"/>
        <v>11</v>
      </c>
      <c r="E232">
        <f t="shared" ca="1" si="83"/>
        <v>0</v>
      </c>
      <c r="F232">
        <f t="shared" ca="1" si="84"/>
        <v>0</v>
      </c>
      <c r="G232">
        <f t="shared" ca="1" si="85"/>
        <v>2</v>
      </c>
      <c r="H232">
        <f t="shared" ref="H232:H241" ca="1" si="91">IF(OR($A232="S",$A232=0),0,MATCH(0,OFFSET($B232,1,$A232,ROW($A$242)-ROW($A232)),0))</f>
        <v>0</v>
      </c>
      <c r="I232">
        <f t="shared" ref="I232:I241" ca="1" si="92">IF(OR($A232="S",$A232=0),0,MATCH(OFFSET($B232,0,$A232)+1,OFFSET($B232,1,$A232,ROW($A$242)-ROW($A232)),0))</f>
        <v>0</v>
      </c>
      <c r="J232" s="353" t="s">
        <v>103</v>
      </c>
      <c r="K232" s="138" t="str">
        <f t="shared" ca="1" si="86"/>
        <v>1.11.0.0.2.</v>
      </c>
      <c r="L232" s="355" t="s">
        <v>231</v>
      </c>
      <c r="M232" s="355" t="s">
        <v>340</v>
      </c>
      <c r="N232" s="357" t="s">
        <v>621</v>
      </c>
      <c r="O232" s="358" t="s">
        <v>628</v>
      </c>
      <c r="P232" s="359">
        <f>(4.5+1.28)-(4.5+1.28)+(4.5+2)</f>
        <v>6.5</v>
      </c>
      <c r="Q232" s="195"/>
      <c r="R232" s="198" t="s">
        <v>7</v>
      </c>
      <c r="S232" s="103">
        <f t="shared" si="76"/>
        <v>0</v>
      </c>
      <c r="T232" s="83">
        <f t="shared" si="77"/>
        <v>0</v>
      </c>
      <c r="U232" s="9" t="str">
        <f t="shared" si="87"/>
        <v>SEM VALOR</v>
      </c>
      <c r="V232" s="1" t="str">
        <f ca="1">IF(OR($A232=0,$A232="S",$A232&gt;CFF!$A$9),"",MAX(V$12:OFFSET(V232,-1,0))+1)</f>
        <v/>
      </c>
      <c r="W232" s="4" t="str">
        <f t="shared" si="88"/>
        <v>SINAPI-102988</v>
      </c>
      <c r="X232" s="1">
        <f t="shared" ca="1" si="78"/>
        <v>13444</v>
      </c>
      <c r="Y232" s="103">
        <v>71.77</v>
      </c>
      <c r="Z232" s="113">
        <f ca="1">ROUND(IF(ISNUMBER(R232),R232,IF(LEFT(R232,3)="BDI",HLOOKUP(R232,DADOS!$T$37:$X$38,2,FALSE),0)),15-11*$X$5)</f>
        <v>0.21390000000000001</v>
      </c>
      <c r="AA232" s="1"/>
    </row>
    <row r="233" spans="1:27" x14ac:dyDescent="0.2">
      <c r="A233" t="str">
        <f t="shared" si="79"/>
        <v>S</v>
      </c>
      <c r="B233">
        <f t="shared" si="80"/>
        <v>0</v>
      </c>
      <c r="C233">
        <f t="shared" ca="1" si="81"/>
        <v>1</v>
      </c>
      <c r="D233">
        <f t="shared" ca="1" si="82"/>
        <v>11</v>
      </c>
      <c r="E233">
        <f t="shared" ca="1" si="83"/>
        <v>0</v>
      </c>
      <c r="F233">
        <f t="shared" ca="1" si="84"/>
        <v>0</v>
      </c>
      <c r="G233">
        <f t="shared" ca="1" si="85"/>
        <v>3</v>
      </c>
      <c r="H233">
        <f t="shared" ca="1" si="91"/>
        <v>0</v>
      </c>
      <c r="I233">
        <f t="shared" ca="1" si="92"/>
        <v>0</v>
      </c>
      <c r="J233" s="353" t="s">
        <v>103</v>
      </c>
      <c r="K233" s="138" t="str">
        <f t="shared" ca="1" si="86"/>
        <v>1.11.0.0.3.</v>
      </c>
      <c r="L233" s="355" t="s">
        <v>231</v>
      </c>
      <c r="M233" s="355" t="s">
        <v>339</v>
      </c>
      <c r="N233" s="357" t="s">
        <v>531</v>
      </c>
      <c r="O233" s="358" t="s">
        <v>636</v>
      </c>
      <c r="P233" s="359">
        <f>P232*0.4</f>
        <v>2.6</v>
      </c>
      <c r="Q233" s="195"/>
      <c r="R233" s="198" t="s">
        <v>7</v>
      </c>
      <c r="S233" s="103">
        <f t="shared" si="76"/>
        <v>0</v>
      </c>
      <c r="T233" s="83">
        <f t="shared" si="77"/>
        <v>0</v>
      </c>
      <c r="U233" s="9" t="str">
        <f t="shared" si="87"/>
        <v>SEM VALOR</v>
      </c>
      <c r="V233" s="1" t="str">
        <f ca="1">IF(OR($A233=0,$A233="S",$A233&gt;CFF!$A$9),"",MAX(V$12:OFFSET(V233,-1,0))+1)</f>
        <v/>
      </c>
      <c r="W233" s="4" t="str">
        <f t="shared" si="88"/>
        <v>SINAPI-93358</v>
      </c>
      <c r="X233" s="1">
        <f t="shared" ca="1" si="78"/>
        <v>8169</v>
      </c>
      <c r="Y233" s="103">
        <v>111.69</v>
      </c>
      <c r="Z233" s="113">
        <f ca="1">ROUND(IF(ISNUMBER(R233),R233,IF(LEFT(R233,3)="BDI",HLOOKUP(R233,DADOS!$T$37:$X$38,2,FALSE),0)),15-11*$X$5)</f>
        <v>0.21390000000000001</v>
      </c>
      <c r="AA233" s="1"/>
    </row>
    <row r="234" spans="1:27" ht="25.5" x14ac:dyDescent="0.2">
      <c r="A234" t="str">
        <f t="shared" si="79"/>
        <v>S</v>
      </c>
      <c r="B234">
        <f t="shared" si="80"/>
        <v>0</v>
      </c>
      <c r="C234">
        <f t="shared" ca="1" si="81"/>
        <v>1</v>
      </c>
      <c r="D234">
        <f t="shared" ca="1" si="82"/>
        <v>11</v>
      </c>
      <c r="E234">
        <f t="shared" ca="1" si="83"/>
        <v>0</v>
      </c>
      <c r="F234">
        <f t="shared" ca="1" si="84"/>
        <v>0</v>
      </c>
      <c r="G234">
        <f t="shared" ca="1" si="85"/>
        <v>4</v>
      </c>
      <c r="H234">
        <f t="shared" ca="1" si="91"/>
        <v>0</v>
      </c>
      <c r="I234">
        <f t="shared" ca="1" si="92"/>
        <v>0</v>
      </c>
      <c r="J234" s="353" t="s">
        <v>103</v>
      </c>
      <c r="K234" s="138" t="str">
        <f t="shared" ca="1" si="86"/>
        <v>1.11.0.0.4.</v>
      </c>
      <c r="L234" s="355" t="s">
        <v>231</v>
      </c>
      <c r="M234" s="355" t="s">
        <v>336</v>
      </c>
      <c r="N234" s="357" t="s">
        <v>622</v>
      </c>
      <c r="O234" s="358" t="s">
        <v>629</v>
      </c>
      <c r="P234" s="359">
        <v>2</v>
      </c>
      <c r="Q234" s="195"/>
      <c r="R234" s="198" t="s">
        <v>7</v>
      </c>
      <c r="S234" s="103">
        <f t="shared" si="76"/>
        <v>0</v>
      </c>
      <c r="T234" s="83">
        <f t="shared" si="77"/>
        <v>0</v>
      </c>
      <c r="U234" s="9" t="str">
        <f t="shared" si="87"/>
        <v>SEM VALOR</v>
      </c>
      <c r="V234" s="1" t="str">
        <f ca="1">IF(OR($A234=0,$A234="S",$A234&gt;CFF!$A$9),"",MAX(V$12:OFFSET(V234,-1,0))+1)</f>
        <v/>
      </c>
      <c r="W234" s="4" t="str">
        <f t="shared" si="88"/>
        <v>SINAPI-99253</v>
      </c>
      <c r="X234" s="1">
        <f t="shared" ca="1" si="78"/>
        <v>6062</v>
      </c>
      <c r="Y234" s="103">
        <v>678.38</v>
      </c>
      <c r="Z234" s="113">
        <f ca="1">ROUND(IF(ISNUMBER(R234),R234,IF(LEFT(R234,3)="BDI",HLOOKUP(R234,DADOS!$T$37:$X$38,2,FALSE),0)),15-11*$X$5)</f>
        <v>0.21390000000000001</v>
      </c>
      <c r="AA234" s="1"/>
    </row>
    <row r="235" spans="1:27" ht="25.5" x14ac:dyDescent="0.2">
      <c r="A235" t="str">
        <f t="shared" si="79"/>
        <v>S</v>
      </c>
      <c r="B235">
        <f t="shared" si="80"/>
        <v>0</v>
      </c>
      <c r="C235">
        <f t="shared" ca="1" si="81"/>
        <v>1</v>
      </c>
      <c r="D235">
        <f t="shared" ca="1" si="82"/>
        <v>11</v>
      </c>
      <c r="E235">
        <f t="shared" ca="1" si="83"/>
        <v>0</v>
      </c>
      <c r="F235">
        <f t="shared" ca="1" si="84"/>
        <v>0</v>
      </c>
      <c r="G235">
        <f t="shared" ca="1" si="85"/>
        <v>5</v>
      </c>
      <c r="H235">
        <f t="shared" ca="1" si="91"/>
        <v>0</v>
      </c>
      <c r="I235">
        <f t="shared" ca="1" si="92"/>
        <v>0</v>
      </c>
      <c r="J235" s="353" t="s">
        <v>103</v>
      </c>
      <c r="K235" s="138" t="str">
        <f t="shared" ca="1" si="86"/>
        <v>1.11.0.0.5.</v>
      </c>
      <c r="L235" s="355" t="s">
        <v>231</v>
      </c>
      <c r="M235" s="355" t="s">
        <v>337</v>
      </c>
      <c r="N235" s="357" t="s">
        <v>623</v>
      </c>
      <c r="O235" s="358" t="s">
        <v>632</v>
      </c>
      <c r="P235" s="359">
        <f>7+8</f>
        <v>15</v>
      </c>
      <c r="Q235" s="195"/>
      <c r="R235" s="198" t="s">
        <v>7</v>
      </c>
      <c r="S235" s="103">
        <f t="shared" si="76"/>
        <v>0</v>
      </c>
      <c r="T235" s="83">
        <f t="shared" si="77"/>
        <v>0</v>
      </c>
      <c r="U235" s="9" t="str">
        <f t="shared" si="87"/>
        <v>SEM VALOR</v>
      </c>
      <c r="V235" s="1" t="str">
        <f ca="1">IF(OR($A235=0,$A235="S",$A235&gt;CFF!$A$9),"",MAX(V$12:OFFSET(V235,-1,0))+1)</f>
        <v/>
      </c>
      <c r="W235" s="4" t="str">
        <f t="shared" si="88"/>
        <v>SINAPI-104166</v>
      </c>
      <c r="X235" s="1">
        <f t="shared" ca="1" si="78"/>
        <v>10796</v>
      </c>
      <c r="Y235" s="103">
        <v>92</v>
      </c>
      <c r="Z235" s="113">
        <f ca="1">ROUND(IF(ISNUMBER(R235),R235,IF(LEFT(R235,3)="BDI",HLOOKUP(R235,DADOS!$T$37:$X$38,2,FALSE),0)),15-11*$X$5)</f>
        <v>0.21390000000000001</v>
      </c>
      <c r="AA235" s="1"/>
    </row>
    <row r="236" spans="1:27" x14ac:dyDescent="0.2">
      <c r="A236" t="str">
        <f t="shared" si="79"/>
        <v>S</v>
      </c>
      <c r="B236">
        <f t="shared" si="80"/>
        <v>0</v>
      </c>
      <c r="C236">
        <f t="shared" ca="1" si="81"/>
        <v>1</v>
      </c>
      <c r="D236">
        <f t="shared" ca="1" si="82"/>
        <v>11</v>
      </c>
      <c r="E236">
        <f t="shared" ca="1" si="83"/>
        <v>0</v>
      </c>
      <c r="F236">
        <f t="shared" ca="1" si="84"/>
        <v>0</v>
      </c>
      <c r="G236">
        <f t="shared" ca="1" si="85"/>
        <v>6</v>
      </c>
      <c r="H236">
        <f t="shared" ca="1" si="91"/>
        <v>0</v>
      </c>
      <c r="I236">
        <f t="shared" ca="1" si="92"/>
        <v>0</v>
      </c>
      <c r="J236" s="353" t="s">
        <v>103</v>
      </c>
      <c r="K236" s="138" t="str">
        <f t="shared" ca="1" si="86"/>
        <v>1.11.0.0.6.</v>
      </c>
      <c r="L236" s="355" t="s">
        <v>231</v>
      </c>
      <c r="M236" s="355" t="s">
        <v>338</v>
      </c>
      <c r="N236" s="357" t="s">
        <v>624</v>
      </c>
      <c r="O236" s="358" t="s">
        <v>636</v>
      </c>
      <c r="P236" s="359">
        <f>P233</f>
        <v>2.6</v>
      </c>
      <c r="Q236" s="195"/>
      <c r="R236" s="198" t="s">
        <v>7</v>
      </c>
      <c r="S236" s="103">
        <f t="shared" si="76"/>
        <v>0</v>
      </c>
      <c r="T236" s="83">
        <f t="shared" si="77"/>
        <v>0</v>
      </c>
      <c r="U236" s="9" t="str">
        <f t="shared" si="87"/>
        <v>SEM VALOR</v>
      </c>
      <c r="V236" s="1" t="str">
        <f ca="1">IF(OR($A236=0,$A236="S",$A236&gt;CFF!$A$9),"",MAX(V$12:OFFSET(V236,-1,0))+1)</f>
        <v/>
      </c>
      <c r="W236" s="4" t="str">
        <f t="shared" si="88"/>
        <v>SINAPI-93382</v>
      </c>
      <c r="X236" s="1">
        <f t="shared" ca="1" si="78"/>
        <v>5672</v>
      </c>
      <c r="Y236" s="103">
        <v>35.97</v>
      </c>
      <c r="Z236" s="113">
        <f ca="1">ROUND(IF(ISNUMBER(R236),R236,IF(LEFT(R236,3)="BDI",HLOOKUP(R236,DADOS!$T$37:$X$38,2,FALSE),0)),15-11*$X$5)</f>
        <v>0.21390000000000001</v>
      </c>
      <c r="AA236" s="1"/>
    </row>
    <row r="237" spans="1:27" x14ac:dyDescent="0.2">
      <c r="A237">
        <f t="shared" si="62"/>
        <v>2</v>
      </c>
      <c r="B237">
        <f t="shared" ca="1" si="63"/>
        <v>5</v>
      </c>
      <c r="C237">
        <f t="shared" ca="1" si="64"/>
        <v>1</v>
      </c>
      <c r="D237">
        <f t="shared" ca="1" si="65"/>
        <v>12</v>
      </c>
      <c r="E237">
        <f t="shared" ca="1" si="66"/>
        <v>0</v>
      </c>
      <c r="F237">
        <f t="shared" ca="1" si="67"/>
        <v>0</v>
      </c>
      <c r="G237">
        <f t="shared" ca="1" si="68"/>
        <v>0</v>
      </c>
      <c r="H237">
        <f t="shared" ca="1" si="91"/>
        <v>5</v>
      </c>
      <c r="I237" t="e">
        <f t="shared" ca="1" si="92"/>
        <v>#N/A</v>
      </c>
      <c r="J237" s="353" t="s">
        <v>100</v>
      </c>
      <c r="K237" s="138" t="str">
        <f t="shared" ca="1" si="69"/>
        <v>1.12.</v>
      </c>
      <c r="L237" s="355"/>
      <c r="M237" s="355"/>
      <c r="N237" s="357" t="s">
        <v>245</v>
      </c>
      <c r="O237" s="358" t="s">
        <v>106</v>
      </c>
      <c r="P237" s="359"/>
      <c r="Q237" s="195"/>
      <c r="R237" s="198" t="s">
        <v>7</v>
      </c>
      <c r="S237" s="103">
        <f t="shared" si="70"/>
        <v>0</v>
      </c>
      <c r="T237" s="83">
        <f t="shared" ca="1" si="71"/>
        <v>0</v>
      </c>
      <c r="U237" s="9" t="str">
        <f t="shared" ca="1" si="72"/>
        <v>SEM VALOR</v>
      </c>
      <c r="V237" s="1" t="str">
        <f ca="1">IF(OR($A237=0,$A237="S",$A237&gt;CFF!$A$9),"",MAX(V$12:OFFSET(V237,-1,0))+1)</f>
        <v/>
      </c>
      <c r="W237" s="4" t="b">
        <f t="shared" si="73"/>
        <v>0</v>
      </c>
      <c r="X237" s="1" t="str">
        <f t="shared" ca="1" si="74"/>
        <v>X</v>
      </c>
      <c r="Y237" s="103">
        <v>0</v>
      </c>
      <c r="Z237" s="113">
        <f ca="1">ROUND(IF(ISNUMBER(R237),R237,IF(LEFT(R237,3)="BDI",HLOOKUP(R237,DADOS!$T$37:$X$38,2,FALSE),0)),15-11*$X$5)</f>
        <v>0.21390000000000001</v>
      </c>
      <c r="AA237" s="1"/>
    </row>
    <row r="238" spans="1:27" ht="25.5" x14ac:dyDescent="0.2">
      <c r="A238" t="str">
        <f t="shared" si="62"/>
        <v>S</v>
      </c>
      <c r="B238">
        <f t="shared" si="63"/>
        <v>0</v>
      </c>
      <c r="C238">
        <f t="shared" ca="1" si="64"/>
        <v>1</v>
      </c>
      <c r="D238">
        <f t="shared" ca="1" si="65"/>
        <v>12</v>
      </c>
      <c r="E238">
        <f t="shared" ca="1" si="66"/>
        <v>0</v>
      </c>
      <c r="F238">
        <f t="shared" ca="1" si="67"/>
        <v>0</v>
      </c>
      <c r="G238">
        <f t="shared" ca="1" si="68"/>
        <v>1</v>
      </c>
      <c r="H238">
        <f t="shared" ca="1" si="91"/>
        <v>0</v>
      </c>
      <c r="I238">
        <f t="shared" ca="1" si="92"/>
        <v>0</v>
      </c>
      <c r="J238" s="353" t="s">
        <v>103</v>
      </c>
      <c r="K238" s="138" t="str">
        <f t="shared" ca="1" si="69"/>
        <v>1.12.0.0.1.</v>
      </c>
      <c r="L238" s="355" t="s">
        <v>231</v>
      </c>
      <c r="M238" s="355" t="s">
        <v>262</v>
      </c>
      <c r="N238" s="357" t="s">
        <v>625</v>
      </c>
      <c r="O238" s="358" t="s">
        <v>636</v>
      </c>
      <c r="P238" s="359">
        <v>104.44</v>
      </c>
      <c r="Q238" s="195"/>
      <c r="R238" s="198" t="s">
        <v>7</v>
      </c>
      <c r="S238" s="103">
        <f t="shared" si="70"/>
        <v>0</v>
      </c>
      <c r="T238" s="83">
        <f t="shared" si="71"/>
        <v>0</v>
      </c>
      <c r="U238" s="9" t="str">
        <f t="shared" si="72"/>
        <v>SEM VALOR</v>
      </c>
      <c r="V238" s="1" t="str">
        <f ca="1">IF(OR($A238=0,$A238="S",$A238&gt;CFF!$A$9),"",MAX(V$12:OFFSET(V238,-1,0))+1)</f>
        <v/>
      </c>
      <c r="W238" s="4" t="str">
        <f t="shared" si="73"/>
        <v>SINAPI-100981</v>
      </c>
      <c r="X238" s="1">
        <f t="shared" ca="1" si="74"/>
        <v>14162</v>
      </c>
      <c r="Y238" s="103">
        <v>12.43</v>
      </c>
      <c r="Z238" s="113">
        <f ca="1">ROUND(IF(ISNUMBER(R238),R238,IF(LEFT(R238,3)="BDI",HLOOKUP(R238,DADOS!$T$37:$X$38,2,FALSE),0)),15-11*$X$5)</f>
        <v>0.21390000000000001</v>
      </c>
      <c r="AA238" s="1"/>
    </row>
    <row r="239" spans="1:27" ht="25.5" x14ac:dyDescent="0.2">
      <c r="A239" t="str">
        <f t="shared" ref="A239:A241" si="93">CHOOSE(1+LOG(1+2*(J239="Meta")+4*(J239="Nível 2")+8*(J239="Nível 3")+16*(J239="Nível 4")+32*(J239="Serviço"),2),0,1,2,3,4,"S")</f>
        <v>S</v>
      </c>
      <c r="B239">
        <f t="shared" ref="B239:B241" si="94">IF(OR(A239="S",A239=0),0,IF(ISERROR(I239),H239,SMALL(H239:I239,1)))</f>
        <v>0</v>
      </c>
      <c r="C239">
        <f t="shared" ref="C239:C241" ca="1" si="95">IF($A239=1,OFFSET(C239,-1,0)+1,OFFSET(C239,-1,0))</f>
        <v>1</v>
      </c>
      <c r="D239">
        <f t="shared" ref="D239:D241" ca="1" si="96">IF($A239=1,0,IF($A239=2,OFFSET(D239,-1,0)+1,OFFSET(D239,-1,0)))</f>
        <v>12</v>
      </c>
      <c r="E239">
        <f t="shared" ref="E239:E241" ca="1" si="97">IF(AND($A239&lt;=2,$A239&lt;&gt;0),0,IF($A239=3,OFFSET(E239,-1,0)+1,OFFSET(E239,-1,0)))</f>
        <v>0</v>
      </c>
      <c r="F239">
        <f t="shared" ref="F239:F241" ca="1" si="98">IF(AND($A239&lt;=3,$A239&lt;&gt;0),0,IF($A239=4,OFFSET(F239,-1,0)+1,OFFSET(F239,-1,0)))</f>
        <v>0</v>
      </c>
      <c r="G239">
        <f t="shared" ref="G239:G241" ca="1" si="99">IF(AND($A239&lt;=4,$A239&lt;&gt;0),0,IF($A239="S",OFFSET(G239,-1,0)+1,OFFSET(G239,-1,0)))</f>
        <v>2</v>
      </c>
      <c r="H239">
        <f t="shared" ca="1" si="91"/>
        <v>0</v>
      </c>
      <c r="I239">
        <f t="shared" ca="1" si="92"/>
        <v>0</v>
      </c>
      <c r="J239" s="353" t="s">
        <v>103</v>
      </c>
      <c r="K239" s="138" t="str">
        <f t="shared" ref="K239:K241" ca="1" si="100">IF($A239=0,"-",CONCATENATE(C239&amp;".",IF(AND($A$5&gt;=2,$A239&gt;=2),D239&amp;".",""),IF(AND($A$5&gt;=3,$A239&gt;=3),E239&amp;".",""),IF(AND($A$5&gt;=4,$A239&gt;=4),F239&amp;".",""),IF($A239="S",G239&amp;".","")))</f>
        <v>1.12.0.0.2.</v>
      </c>
      <c r="L239" s="355" t="s">
        <v>231</v>
      </c>
      <c r="M239" s="355" t="s">
        <v>264</v>
      </c>
      <c r="N239" s="357" t="s">
        <v>266</v>
      </c>
      <c r="O239" s="358" t="s">
        <v>641</v>
      </c>
      <c r="P239" s="359">
        <f>P238*15</f>
        <v>1566.6</v>
      </c>
      <c r="Q239" s="195"/>
      <c r="R239" s="198" t="s">
        <v>7</v>
      </c>
      <c r="S239" s="103">
        <f t="shared" si="70"/>
        <v>0</v>
      </c>
      <c r="T239" s="83">
        <f t="shared" si="71"/>
        <v>0</v>
      </c>
      <c r="U239" s="9" t="str">
        <f t="shared" ref="U239:U241" si="101">IF($J239="","",IF($N239="","DESCRIÇÃO",IF(AND($J239="Serviço",$O239=""),"UNIDADE",IF($T239&lt;=0,"SEM VALOR",IF(AND($Y239&lt;&gt;"",$Q239&gt;$Y239),"ACIMA REF.","")))))</f>
        <v>SEM VALOR</v>
      </c>
      <c r="V239" s="1" t="str">
        <f ca="1">IF(OR($A239=0,$A239="S",$A239&gt;CFF!$A$9),"",MAX(V$12:OFFSET(V239,-1,0))+1)</f>
        <v/>
      </c>
      <c r="W239" s="4" t="str">
        <f t="shared" ref="W239:W241" si="102">IF(AND($J239="Serviço",$M239&lt;&gt;""),IF($L239="",$M239,CONCATENATE($L239,"-",$M239)))</f>
        <v>SINAPI-97914</v>
      </c>
      <c r="X239" s="1">
        <f t="shared" ca="1" si="74"/>
        <v>14256</v>
      </c>
      <c r="Y239" s="103">
        <v>3.84</v>
      </c>
      <c r="Z239" s="113">
        <f ca="1">ROUND(IF(ISNUMBER(R239),R239,IF(LEFT(R239,3)="BDI",HLOOKUP(R239,DADOS!$T$37:$X$38,2,FALSE),0)),15-11*$X$5)</f>
        <v>0.21390000000000001</v>
      </c>
      <c r="AA239" s="1"/>
    </row>
    <row r="240" spans="1:27" ht="25.5" x14ac:dyDescent="0.2">
      <c r="A240" t="str">
        <f t="shared" si="93"/>
        <v>S</v>
      </c>
      <c r="B240">
        <f t="shared" si="94"/>
        <v>0</v>
      </c>
      <c r="C240">
        <f t="shared" ca="1" si="95"/>
        <v>1</v>
      </c>
      <c r="D240">
        <f t="shared" ca="1" si="96"/>
        <v>12</v>
      </c>
      <c r="E240">
        <f t="shared" ca="1" si="97"/>
        <v>0</v>
      </c>
      <c r="F240">
        <f t="shared" ca="1" si="98"/>
        <v>0</v>
      </c>
      <c r="G240">
        <f t="shared" ca="1" si="99"/>
        <v>3</v>
      </c>
      <c r="H240">
        <f t="shared" ca="1" si="91"/>
        <v>0</v>
      </c>
      <c r="I240">
        <f t="shared" ca="1" si="92"/>
        <v>0</v>
      </c>
      <c r="J240" s="353" t="s">
        <v>103</v>
      </c>
      <c r="K240" s="138" t="str">
        <f t="shared" ca="1" si="100"/>
        <v>1.12.0.0.3.</v>
      </c>
      <c r="L240" s="355" t="s">
        <v>231</v>
      </c>
      <c r="M240" s="355" t="s">
        <v>265</v>
      </c>
      <c r="N240" s="357" t="s">
        <v>626</v>
      </c>
      <c r="O240" s="358" t="s">
        <v>628</v>
      </c>
      <c r="P240" s="359">
        <v>50</v>
      </c>
      <c r="Q240" s="195"/>
      <c r="R240" s="198" t="s">
        <v>7</v>
      </c>
      <c r="S240" s="103">
        <f t="shared" si="70"/>
        <v>0</v>
      </c>
      <c r="T240" s="83">
        <f t="shared" si="71"/>
        <v>0</v>
      </c>
      <c r="U240" s="9" t="str">
        <f t="shared" si="101"/>
        <v>SEM VALOR</v>
      </c>
      <c r="V240" s="1" t="str">
        <f ca="1">IF(OR($A240=0,$A240="S",$A240&gt;CFF!$A$9),"",MAX(V$12:OFFSET(V240,-1,0))+1)</f>
        <v/>
      </c>
      <c r="W240" s="4" t="str">
        <f t="shared" si="102"/>
        <v>SINAPI-97637</v>
      </c>
      <c r="X240" s="1">
        <f t="shared" ca="1" si="74"/>
        <v>6798</v>
      </c>
      <c r="Y240" s="103">
        <v>3.99</v>
      </c>
      <c r="Z240" s="113">
        <f ca="1">ROUND(IF(ISNUMBER(R240),R240,IF(LEFT(R240,3)="BDI",HLOOKUP(R240,DADOS!$T$37:$X$38,2,FALSE),0)),15-11*$X$5)</f>
        <v>0.21390000000000001</v>
      </c>
      <c r="AA240" s="1"/>
    </row>
    <row r="241" spans="1:27" x14ac:dyDescent="0.2">
      <c r="A241" t="str">
        <f t="shared" si="93"/>
        <v>S</v>
      </c>
      <c r="B241">
        <f t="shared" si="94"/>
        <v>0</v>
      </c>
      <c r="C241">
        <f t="shared" ca="1" si="95"/>
        <v>1</v>
      </c>
      <c r="D241">
        <f t="shared" ca="1" si="96"/>
        <v>12</v>
      </c>
      <c r="E241">
        <f t="shared" ca="1" si="97"/>
        <v>0</v>
      </c>
      <c r="F241">
        <f t="shared" ca="1" si="98"/>
        <v>0</v>
      </c>
      <c r="G241">
        <f t="shared" ca="1" si="99"/>
        <v>4</v>
      </c>
      <c r="H241">
        <f t="shared" ca="1" si="91"/>
        <v>0</v>
      </c>
      <c r="I241">
        <f t="shared" ca="1" si="92"/>
        <v>0</v>
      </c>
      <c r="J241" s="353" t="s">
        <v>103</v>
      </c>
      <c r="K241" s="138" t="str">
        <f t="shared" ca="1" si="100"/>
        <v>1.12.0.0.4.</v>
      </c>
      <c r="L241" s="355" t="s">
        <v>237</v>
      </c>
      <c r="M241" s="355" t="s">
        <v>263</v>
      </c>
      <c r="N241" s="357" t="s">
        <v>627</v>
      </c>
      <c r="O241" s="358" t="s">
        <v>628</v>
      </c>
      <c r="P241" s="359">
        <f>322.31-322.31+1641.87-1641.87+1475.07</f>
        <v>1475.07</v>
      </c>
      <c r="Q241" s="195"/>
      <c r="R241" s="198" t="s">
        <v>7</v>
      </c>
      <c r="S241" s="103">
        <f t="shared" si="70"/>
        <v>0</v>
      </c>
      <c r="T241" s="83">
        <f t="shared" si="71"/>
        <v>0</v>
      </c>
      <c r="U241" s="9" t="str">
        <f t="shared" si="101"/>
        <v>SEM VALOR</v>
      </c>
      <c r="V241" s="1" t="str">
        <f ca="1">IF(OR($A241=0,$A241="S",$A241&gt;CFF!$A$9),"",MAX(V$12:OFFSET(V241,-1,0))+1)</f>
        <v/>
      </c>
      <c r="W241" s="4" t="str">
        <f t="shared" si="102"/>
        <v>PM BENTO-87</v>
      </c>
      <c r="X241" s="1">
        <f t="shared" ca="1" si="74"/>
        <v>24</v>
      </c>
      <c r="Y241" s="103">
        <v>4.22</v>
      </c>
      <c r="Z241" s="113">
        <f ca="1">ROUND(IF(ISNUMBER(R241),R241,IF(LEFT(R241,3)="BDI",HLOOKUP(R241,DADOS!$T$37:$X$38,2,FALSE),0)),15-11*$X$5)</f>
        <v>0.21390000000000001</v>
      </c>
      <c r="AA241" s="1"/>
    </row>
    <row r="242" spans="1:27" x14ac:dyDescent="0.2">
      <c r="A242">
        <v>-1</v>
      </c>
      <c r="C242">
        <v>0</v>
      </c>
      <c r="D242">
        <v>0</v>
      </c>
      <c r="E242">
        <v>0</v>
      </c>
      <c r="F242">
        <v>0</v>
      </c>
      <c r="G242">
        <v>0</v>
      </c>
      <c r="J242" s="69"/>
      <c r="K242" s="69"/>
      <c r="L242" s="69"/>
      <c r="M242" s="69"/>
      <c r="N242" s="69"/>
      <c r="O242" s="69"/>
      <c r="P242" s="69"/>
      <c r="Q242" s="69"/>
      <c r="R242" s="69"/>
      <c r="S242" s="69"/>
      <c r="T242" s="69"/>
      <c r="U242" s="1"/>
      <c r="V242" s="1"/>
      <c r="W242" s="1"/>
      <c r="X242" s="1"/>
      <c r="Y242" s="1"/>
      <c r="Z242" s="1"/>
      <c r="AA242" s="1"/>
    </row>
    <row r="243" spans="1:27" ht="14.25" customHeight="1" x14ac:dyDescent="0.2">
      <c r="A243" s="1"/>
      <c r="B243" s="1"/>
      <c r="C243" s="1"/>
      <c r="D243" s="1"/>
      <c r="E243" s="1"/>
      <c r="F243" s="1"/>
      <c r="G243" s="1"/>
      <c r="H243" s="1"/>
      <c r="I243" s="1"/>
      <c r="J243" s="1"/>
      <c r="K243" s="70" t="s">
        <v>62</v>
      </c>
      <c r="L243" s="1"/>
      <c r="M243" s="324" t="s">
        <v>141</v>
      </c>
      <c r="N243" s="325"/>
      <c r="O243" s="325"/>
      <c r="P243" s="325"/>
      <c r="Q243" s="325"/>
      <c r="R243" s="325"/>
      <c r="S243" s="325"/>
      <c r="T243" s="326"/>
      <c r="U243" s="1"/>
      <c r="V243" s="1"/>
      <c r="W243" s="1"/>
      <c r="X243" s="1"/>
      <c r="Y243" s="1"/>
      <c r="Z243" s="1"/>
      <c r="AA243" s="1"/>
    </row>
    <row r="244" spans="1:27"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4.25" x14ac:dyDescent="0.2">
      <c r="A245" s="1"/>
      <c r="B245" s="1"/>
      <c r="C245" s="1"/>
      <c r="D245" s="1"/>
      <c r="E245" s="1"/>
      <c r="F245" s="1"/>
      <c r="G245" s="1"/>
      <c r="H245" s="1"/>
      <c r="I245" s="1"/>
      <c r="J245" s="1"/>
      <c r="K245" s="76" t="s">
        <v>21</v>
      </c>
      <c r="L245" s="1"/>
      <c r="M245" s="1"/>
      <c r="N245" s="1"/>
      <c r="O245" s="1"/>
      <c r="P245" s="1"/>
      <c r="Q245" s="1"/>
      <c r="R245" s="1"/>
      <c r="S245" s="1"/>
      <c r="T245" s="75"/>
      <c r="U245" s="1"/>
      <c r="V245" s="1"/>
      <c r="W245" s="1"/>
      <c r="X245" s="1"/>
      <c r="Y245" s="1"/>
      <c r="Z245" s="1"/>
      <c r="AA245" s="1"/>
    </row>
    <row r="246" spans="1:27" ht="12.75" customHeight="1" x14ac:dyDescent="0.2">
      <c r="A246" s="1"/>
      <c r="B246" s="1"/>
      <c r="C246" s="1"/>
      <c r="D246" s="1"/>
      <c r="E246" s="1"/>
      <c r="F246" s="1"/>
      <c r="G246" s="1"/>
      <c r="H246" s="1"/>
      <c r="I246" s="1"/>
      <c r="J246" s="1"/>
      <c r="K246" s="318" t="s">
        <v>433</v>
      </c>
      <c r="L246" s="319"/>
      <c r="M246" s="319"/>
      <c r="N246" s="319"/>
      <c r="O246" s="319"/>
      <c r="P246" s="319"/>
      <c r="Q246" s="319"/>
      <c r="R246" s="319"/>
      <c r="S246" s="319"/>
      <c r="T246" s="320"/>
      <c r="U246" s="1"/>
      <c r="V246" s="1"/>
      <c r="W246" s="1"/>
      <c r="X246" s="1"/>
      <c r="Y246" s="1"/>
      <c r="Z246" s="1"/>
      <c r="AA246" s="1"/>
    </row>
    <row r="247" spans="1:27" x14ac:dyDescent="0.2">
      <c r="A247" s="1"/>
      <c r="B247" s="1"/>
      <c r="C247" s="1"/>
      <c r="D247" s="1"/>
      <c r="E247" s="1"/>
      <c r="F247" s="1"/>
      <c r="G247" s="1"/>
      <c r="H247" s="1"/>
      <c r="I247" s="1"/>
      <c r="J247" s="1"/>
      <c r="K247" s="318"/>
      <c r="L247" s="319"/>
      <c r="M247" s="319"/>
      <c r="N247" s="319"/>
      <c r="O247" s="319"/>
      <c r="P247" s="319"/>
      <c r="Q247" s="319"/>
      <c r="R247" s="319"/>
      <c r="S247" s="319"/>
      <c r="T247" s="320"/>
      <c r="U247" s="1"/>
      <c r="V247" s="1"/>
      <c r="W247" s="1"/>
      <c r="X247" s="1"/>
      <c r="Y247" s="1"/>
      <c r="Z247" s="1"/>
      <c r="AA247" s="1"/>
    </row>
    <row r="248" spans="1:27" x14ac:dyDescent="0.2">
      <c r="A248" s="1"/>
      <c r="B248" s="1"/>
      <c r="C248" s="1"/>
      <c r="D248" s="1"/>
      <c r="E248" s="1"/>
      <c r="F248" s="1"/>
      <c r="G248" s="1"/>
      <c r="H248" s="1"/>
      <c r="I248" s="1"/>
      <c r="J248" s="1"/>
      <c r="K248" s="321"/>
      <c r="L248" s="322"/>
      <c r="M248" s="322"/>
      <c r="N248" s="322"/>
      <c r="O248" s="322"/>
      <c r="P248" s="322"/>
      <c r="Q248" s="322"/>
      <c r="R248" s="322"/>
      <c r="S248" s="322"/>
      <c r="T248" s="323"/>
      <c r="U248" s="1"/>
      <c r="V248" s="1"/>
      <c r="W248" s="1"/>
      <c r="X248" s="1"/>
      <c r="Y248" s="1"/>
      <c r="Z248" s="1"/>
      <c r="AA248" s="1"/>
    </row>
    <row r="249" spans="1:27" ht="14.25" x14ac:dyDescent="0.2">
      <c r="A249" s="1"/>
      <c r="B249" s="1"/>
      <c r="C249" s="1"/>
      <c r="D249" s="1"/>
      <c r="E249" s="1"/>
      <c r="F249" s="1"/>
      <c r="G249" s="1"/>
      <c r="H249" s="1"/>
      <c r="I249" s="1"/>
      <c r="J249" s="1"/>
      <c r="K249" s="180"/>
      <c r="L249" s="180"/>
      <c r="M249" s="180"/>
      <c r="N249" s="180"/>
      <c r="O249" s="180"/>
      <c r="P249" s="180"/>
      <c r="Q249" s="180"/>
      <c r="R249" s="180"/>
      <c r="S249" s="180"/>
      <c r="T249" s="180"/>
      <c r="U249" s="1"/>
      <c r="V249" s="1"/>
      <c r="W249" s="1"/>
      <c r="X249" s="1"/>
      <c r="Y249" s="1"/>
      <c r="Z249" s="1"/>
      <c r="AA249" s="1"/>
    </row>
    <row r="250" spans="1:27" ht="15" x14ac:dyDescent="0.25">
      <c r="A250" s="1"/>
      <c r="B250" s="1"/>
      <c r="C250" s="1"/>
      <c r="D250" s="1"/>
      <c r="E250" s="1"/>
      <c r="F250" s="1"/>
      <c r="G250" s="1"/>
      <c r="H250" s="1"/>
      <c r="I250" s="1"/>
      <c r="J250" s="1"/>
      <c r="K250" s="315"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250" s="316"/>
      <c r="M250" s="316"/>
      <c r="N250" s="316"/>
      <c r="O250" s="316"/>
      <c r="P250" s="316"/>
      <c r="Q250" s="316"/>
      <c r="R250" s="316"/>
      <c r="S250" s="316"/>
      <c r="T250" s="317"/>
      <c r="U250" s="1"/>
      <c r="V250" s="1"/>
      <c r="W250" s="1"/>
      <c r="X250" s="1"/>
      <c r="Y250" s="1"/>
      <c r="Z250" s="1"/>
      <c r="AA250" s="1"/>
    </row>
    <row r="251" spans="1:27"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21"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x14ac:dyDescent="0.2">
      <c r="A253" s="1"/>
      <c r="B253" s="1"/>
      <c r="C253" s="1"/>
      <c r="D253" s="1"/>
      <c r="E253" s="1"/>
      <c r="F253" s="1"/>
      <c r="G253" s="1"/>
      <c r="H253" s="1"/>
      <c r="I253" s="1"/>
      <c r="J253" s="1"/>
      <c r="K253" s="328" t="str">
        <f>Import.Município</f>
        <v>BENTO GONÇALVES/RS</v>
      </c>
      <c r="L253" s="328"/>
      <c r="M253" s="328"/>
      <c r="N253" s="1"/>
      <c r="O253" s="1"/>
      <c r="P253" s="1"/>
      <c r="Q253" s="1"/>
      <c r="R253" s="1"/>
      <c r="S253" s="1"/>
      <c r="T253" s="1"/>
      <c r="U253" s="1"/>
      <c r="V253" s="1"/>
      <c r="W253" s="1"/>
      <c r="X253" s="1"/>
      <c r="Y253" s="1"/>
      <c r="Z253" s="1"/>
      <c r="AA253" s="1"/>
    </row>
    <row r="254" spans="1:27" x14ac:dyDescent="0.2">
      <c r="A254" s="1"/>
      <c r="B254" s="1"/>
      <c r="C254" s="1"/>
      <c r="D254" s="1"/>
      <c r="E254" s="1"/>
      <c r="F254" s="1"/>
      <c r="G254" s="1"/>
      <c r="H254" s="1"/>
      <c r="I254" s="1"/>
      <c r="J254" s="1"/>
      <c r="K254" s="97" t="s">
        <v>120</v>
      </c>
      <c r="L254" s="1"/>
      <c r="M254" s="1"/>
      <c r="N254" s="1"/>
      <c r="O254" s="1"/>
      <c r="P254" s="1"/>
      <c r="Q254" s="1"/>
      <c r="R254" s="1"/>
      <c r="S254" s="1"/>
      <c r="T254" s="1"/>
      <c r="U254" s="1"/>
      <c r="V254" s="1"/>
      <c r="W254" s="1"/>
      <c r="X254" s="1"/>
      <c r="Y254" s="1"/>
      <c r="Z254" s="1"/>
      <c r="AA254" s="1"/>
    </row>
    <row r="255" spans="1:27"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x14ac:dyDescent="0.2">
      <c r="A256" s="1"/>
      <c r="B256" s="1"/>
      <c r="C256" s="1"/>
      <c r="D256" s="1"/>
      <c r="E256" s="1"/>
      <c r="F256" s="1"/>
      <c r="G256" s="1"/>
      <c r="H256" s="1"/>
      <c r="I256" s="1"/>
      <c r="J256" s="1"/>
      <c r="K256" s="327">
        <f ca="1">TODAY()</f>
        <v>45810</v>
      </c>
      <c r="L256" s="327"/>
      <c r="M256" s="327"/>
      <c r="N256" s="1"/>
      <c r="O256" s="1"/>
      <c r="P256" s="1"/>
      <c r="Q256" s="1"/>
      <c r="R256" s="1"/>
      <c r="S256" s="1"/>
      <c r="T256" s="1"/>
      <c r="U256" s="1"/>
      <c r="V256" s="1"/>
      <c r="W256" s="1"/>
      <c r="X256" s="1"/>
      <c r="Y256" s="1"/>
      <c r="Z256" s="1"/>
      <c r="AA256" s="1"/>
    </row>
    <row r="257" spans="1:27" x14ac:dyDescent="0.2">
      <c r="A257" s="1"/>
      <c r="B257" s="1"/>
      <c r="C257" s="1"/>
      <c r="D257" s="1"/>
      <c r="E257" s="1"/>
      <c r="F257" s="1"/>
      <c r="G257" s="1"/>
      <c r="H257" s="1"/>
      <c r="I257" s="1"/>
      <c r="J257" s="1"/>
      <c r="K257" s="119" t="s">
        <v>121</v>
      </c>
      <c r="L257" s="69"/>
      <c r="M257" s="69"/>
      <c r="N257" s="1"/>
      <c r="O257" s="1"/>
      <c r="P257" s="1"/>
      <c r="Q257" s="1"/>
      <c r="R257" s="1"/>
      <c r="S257" s="1"/>
      <c r="T257" s="1"/>
      <c r="U257" s="1"/>
      <c r="V257" s="1"/>
      <c r="W257" s="1"/>
      <c r="X257" s="1"/>
      <c r="Y257" s="1"/>
      <c r="Z257" s="1"/>
      <c r="AA257" s="1"/>
    </row>
  </sheetData>
  <sheetProtection password="C95B" sheet="1" objects="1" scenarios="1"/>
  <mergeCells count="6">
    <mergeCell ref="W2:X2"/>
    <mergeCell ref="K250:T250"/>
    <mergeCell ref="K246:T248"/>
    <mergeCell ref="M243:T243"/>
    <mergeCell ref="K256:M256"/>
    <mergeCell ref="K253:M253"/>
  </mergeCells>
  <phoneticPr fontId="25" type="noConversion"/>
  <conditionalFormatting sqref="O12:R12 L12:M12">
    <cfRule type="expression" dxfId="405" priority="5508" stopIfTrue="1">
      <formula>$J12=$C$2</formula>
    </cfRule>
    <cfRule type="expression" dxfId="404" priority="5509" stopIfTrue="1">
      <formula>UPPER(LEFT($J12,5))="NÍVEL"</formula>
    </cfRule>
    <cfRule type="expression" dxfId="403" priority="5510" stopIfTrue="1">
      <formula>$J12=$C$8</formula>
    </cfRule>
  </conditionalFormatting>
  <conditionalFormatting sqref="Y12:Z12 S12:T12 K12">
    <cfRule type="expression" dxfId="402" priority="5511" stopIfTrue="1">
      <formula>$J12=$C$2</formula>
    </cfRule>
    <cfRule type="expression" dxfId="401" priority="5512" stopIfTrue="1">
      <formula>UPPER(LEFT($J12,5))="NÍVEL"</formula>
    </cfRule>
  </conditionalFormatting>
  <conditionalFormatting sqref="K11 K13:K14 K16:K241">
    <cfRule type="expression" dxfId="400" priority="5524" stopIfTrue="1">
      <formula>$J11=$C$2</formula>
    </cfRule>
    <cfRule type="expression" dxfId="399" priority="5525" stopIfTrue="1">
      <formula>AND($J11&lt;&gt;"",$J11&lt;&gt;"Serviço")</formula>
    </cfRule>
    <cfRule type="expression" dxfId="398" priority="5526" stopIfTrue="1">
      <formula>$J11=""</formula>
    </cfRule>
  </conditionalFormatting>
  <conditionalFormatting sqref="P11 P13:P14 P16:P241">
    <cfRule type="expression" dxfId="397" priority="3851" stopIfTrue="1">
      <formula>$J11=$C$2</formula>
    </cfRule>
    <cfRule type="expression" dxfId="396" priority="5530" stopIfTrue="1">
      <formula>AND($J11&lt;&gt;"Serviço")</formula>
    </cfRule>
    <cfRule type="expression" dxfId="395" priority="5531" stopIfTrue="1">
      <formula>CELL("proteger",P11)</formula>
    </cfRule>
  </conditionalFormatting>
  <conditionalFormatting sqref="Q11:R11 Q13:R14 Q16:R241 Q15">
    <cfRule type="expression" dxfId="394" priority="5532" stopIfTrue="1">
      <formula>$J11=$C$2</formula>
    </cfRule>
    <cfRule type="expression" dxfId="393" priority="5533" stopIfTrue="1">
      <formula>$J11&lt;&gt;"Serviço"</formula>
    </cfRule>
    <cfRule type="expression" dxfId="392" priority="5534" stopIfTrue="1">
      <formula>CELL("proteger",Q11)</formula>
    </cfRule>
  </conditionalFormatting>
  <conditionalFormatting sqref="S11:T11 Y11:Z11 S13:T14 Y13:Z14 Y16:Z241 S16:T241">
    <cfRule type="expression" dxfId="391" priority="5535" stopIfTrue="1">
      <formula>$J11=$C$2</formula>
    </cfRule>
    <cfRule type="expression" dxfId="390" priority="5536" stopIfTrue="1">
      <formula>$J11&lt;&gt;"Serviço"</formula>
    </cfRule>
  </conditionalFormatting>
  <conditionalFormatting sqref="L11:M11 L13:M14 L16:M241">
    <cfRule type="expression" dxfId="389" priority="5556" stopIfTrue="1">
      <formula>$J11=$C$2</formula>
    </cfRule>
    <cfRule type="expression" dxfId="388" priority="5557" stopIfTrue="1">
      <formula>$J11&lt;&gt;"Serviço"</formula>
    </cfRule>
    <cfRule type="expression" dxfId="387" priority="5558" stopIfTrue="1">
      <formula>OR(CELL("proteger",L11),$J11="",TipoOrçamento="Licitado")</formula>
    </cfRule>
  </conditionalFormatting>
  <conditionalFormatting sqref="K243:T243">
    <cfRule type="expression" dxfId="386" priority="5537" stopIfTrue="1">
      <formula>OR(Tipo.Orçamento="LICITADO",Tipo.Orçamento="REPROGRAMADOAC")</formula>
    </cfRule>
    <cfRule type="expression" dxfId="385" priority="5538" stopIfTrue="1">
      <formula>$M$243=""</formula>
    </cfRule>
  </conditionalFormatting>
  <conditionalFormatting sqref="J11 J13 J18:J21 J192 J25:J29 J76:J88 J31 J94 J98:J100 J107:J111 J65:J74 J36:J63 J194:J238">
    <cfRule type="expression" dxfId="384" priority="5565" stopIfTrue="1">
      <formula>TipoOrçamento="Licitado"</formula>
    </cfRule>
  </conditionalFormatting>
  <conditionalFormatting sqref="O11 O13:O14 O16:O241">
    <cfRule type="expression" dxfId="383" priority="3871" stopIfTrue="1">
      <formula>$J11=$C$2</formula>
    </cfRule>
    <cfRule type="expression" dxfId="382" priority="3872" stopIfTrue="1">
      <formula>AND($J11&lt;&gt;"Serviço")</formula>
    </cfRule>
    <cfRule type="expression" dxfId="381" priority="3873" stopIfTrue="1">
      <formula>CELL("proteger",O11)</formula>
    </cfRule>
  </conditionalFormatting>
  <conditionalFormatting sqref="N11 N14 N16:N241">
    <cfRule type="expression" dxfId="380" priority="3874" stopIfTrue="1">
      <formula>$J11=$C$2</formula>
    </cfRule>
    <cfRule type="expression" dxfId="379" priority="3875" stopIfTrue="1">
      <formula>$J11&lt;&gt;"Serviço"</formula>
    </cfRule>
    <cfRule type="expression" dxfId="378" priority="3876" stopIfTrue="1">
      <formula>CELL("proteger",N11)</formula>
    </cfRule>
  </conditionalFormatting>
  <conditionalFormatting sqref="N13">
    <cfRule type="expression" dxfId="377" priority="3740" stopIfTrue="1">
      <formula>$J13=$C$2</formula>
    </cfRule>
    <cfRule type="expression" dxfId="376" priority="3741" stopIfTrue="1">
      <formula>$J13&lt;&gt;"Serviço"</formula>
    </cfRule>
    <cfRule type="expression" dxfId="375" priority="3742" stopIfTrue="1">
      <formula>CELL("proteger",N13)</formula>
    </cfRule>
  </conditionalFormatting>
  <conditionalFormatting sqref="J23">
    <cfRule type="expression" dxfId="374" priority="1852" stopIfTrue="1">
      <formula>TipoOrçamento="Licitado"</formula>
    </cfRule>
  </conditionalFormatting>
  <conditionalFormatting sqref="J16">
    <cfRule type="expression" dxfId="373" priority="1453" stopIfTrue="1">
      <formula>TipoOrçamento="Licitado"</formula>
    </cfRule>
  </conditionalFormatting>
  <conditionalFormatting sqref="J17">
    <cfRule type="expression" dxfId="372" priority="1432" stopIfTrue="1">
      <formula>TipoOrçamento="Licitado"</formula>
    </cfRule>
  </conditionalFormatting>
  <conditionalFormatting sqref="J189 J187">
    <cfRule type="expression" dxfId="371" priority="1327" stopIfTrue="1">
      <formula>TipoOrçamento="Licitado"</formula>
    </cfRule>
  </conditionalFormatting>
  <conditionalFormatting sqref="J24">
    <cfRule type="expression" dxfId="370" priority="1285" stopIfTrue="1">
      <formula>TipoOrçamento="Licitado"</formula>
    </cfRule>
  </conditionalFormatting>
  <conditionalFormatting sqref="J190:J191">
    <cfRule type="expression" dxfId="369" priority="1259" stopIfTrue="1">
      <formula>TipoOrçamento="Licitado"</formula>
    </cfRule>
  </conditionalFormatting>
  <conditionalFormatting sqref="J239:J241">
    <cfRule type="expression" dxfId="368" priority="1248" stopIfTrue="1">
      <formula>TipoOrçamento="Licitado"</formula>
    </cfRule>
  </conditionalFormatting>
  <conditionalFormatting sqref="J188">
    <cfRule type="expression" dxfId="367" priority="1231" stopIfTrue="1">
      <formula>TipoOrçamento="Licitado"</formula>
    </cfRule>
  </conditionalFormatting>
  <conditionalFormatting sqref="J75">
    <cfRule type="expression" dxfId="366" priority="1203" stopIfTrue="1">
      <formula>TipoOrçamento="Licitado"</formula>
    </cfRule>
  </conditionalFormatting>
  <conditionalFormatting sqref="J104:J106">
    <cfRule type="expression" dxfId="365" priority="1161" stopIfTrue="1">
      <formula>TipoOrçamento="Licitado"</formula>
    </cfRule>
  </conditionalFormatting>
  <conditionalFormatting sqref="J89:J90 J92:J93">
    <cfRule type="expression" dxfId="364" priority="1137" stopIfTrue="1">
      <formula>TipoOrçamento="Licitado"</formula>
    </cfRule>
  </conditionalFormatting>
  <conditionalFormatting sqref="J95:J96">
    <cfRule type="expression" dxfId="363" priority="867" stopIfTrue="1">
      <formula>TipoOrçamento="Licitado"</formula>
    </cfRule>
  </conditionalFormatting>
  <conditionalFormatting sqref="J193">
    <cfRule type="expression" dxfId="362" priority="846" stopIfTrue="1">
      <formula>TipoOrçamento="Licitado"</formula>
    </cfRule>
  </conditionalFormatting>
  <conditionalFormatting sqref="J22">
    <cfRule type="expression" dxfId="361" priority="798" stopIfTrue="1">
      <formula>TipoOrçamento="Licitado"</formula>
    </cfRule>
  </conditionalFormatting>
  <conditionalFormatting sqref="J30">
    <cfRule type="expression" dxfId="360" priority="777" stopIfTrue="1">
      <formula>TipoOrçamento="Licitado"</formula>
    </cfRule>
  </conditionalFormatting>
  <conditionalFormatting sqref="J97">
    <cfRule type="expression" dxfId="359" priority="756" stopIfTrue="1">
      <formula>TipoOrçamento="Licitado"</formula>
    </cfRule>
  </conditionalFormatting>
  <conditionalFormatting sqref="J91">
    <cfRule type="expression" dxfId="358" priority="528" stopIfTrue="1">
      <formula>TipoOrçamento="Licitado"</formula>
    </cfRule>
  </conditionalFormatting>
  <conditionalFormatting sqref="J64">
    <cfRule type="expression" dxfId="357" priority="459" stopIfTrue="1">
      <formula>TipoOrçamento="Licitado"</formula>
    </cfRule>
  </conditionalFormatting>
  <conditionalFormatting sqref="J32:J35">
    <cfRule type="expression" dxfId="356" priority="432" stopIfTrue="1">
      <formula>TipoOrçamento="Licitado"</formula>
    </cfRule>
  </conditionalFormatting>
  <conditionalFormatting sqref="J101:J103">
    <cfRule type="expression" dxfId="355" priority="408" stopIfTrue="1">
      <formula>TipoOrçamento="Licitado"</formula>
    </cfRule>
  </conditionalFormatting>
  <conditionalFormatting sqref="J112:J170">
    <cfRule type="expression" dxfId="354" priority="384" stopIfTrue="1">
      <formula>TipoOrçamento="Licitado"</formula>
    </cfRule>
  </conditionalFormatting>
  <conditionalFormatting sqref="J171:J186">
    <cfRule type="expression" dxfId="353" priority="363" stopIfTrue="1">
      <formula>TipoOrçamento="Licitado"</formula>
    </cfRule>
  </conditionalFormatting>
  <conditionalFormatting sqref="J14">
    <cfRule type="expression" dxfId="352" priority="54" stopIfTrue="1">
      <formula>TipoOrçamento="Licitado"</formula>
    </cfRule>
  </conditionalFormatting>
  <conditionalFormatting sqref="K15">
    <cfRule type="expression" dxfId="351" priority="11" stopIfTrue="1">
      <formula>$J15=$C$2</formula>
    </cfRule>
    <cfRule type="expression" dxfId="350" priority="12" stopIfTrue="1">
      <formula>AND($J15&lt;&gt;"",$J15&lt;&gt;"Serviço")</formula>
    </cfRule>
    <cfRule type="expression" dxfId="349" priority="13" stopIfTrue="1">
      <formula>$J15=""</formula>
    </cfRule>
  </conditionalFormatting>
  <conditionalFormatting sqref="P15">
    <cfRule type="expression" dxfId="348" priority="4" stopIfTrue="1">
      <formula>$J15=$C$2</formula>
    </cfRule>
    <cfRule type="expression" dxfId="347" priority="14" stopIfTrue="1">
      <formula>AND($J15&lt;&gt;"Serviço")</formula>
    </cfRule>
    <cfRule type="expression" dxfId="346" priority="15" stopIfTrue="1">
      <formula>CELL("proteger",P15)</formula>
    </cfRule>
  </conditionalFormatting>
  <conditionalFormatting sqref="R15">
    <cfRule type="expression" dxfId="345" priority="16" stopIfTrue="1">
      <formula>$J15=$C$2</formula>
    </cfRule>
    <cfRule type="expression" dxfId="344" priority="17" stopIfTrue="1">
      <formula>$J15&lt;&gt;"Serviço"</formula>
    </cfRule>
    <cfRule type="expression" dxfId="343" priority="18" stopIfTrue="1">
      <formula>CELL("proteger",R15)</formula>
    </cfRule>
  </conditionalFormatting>
  <conditionalFormatting sqref="S15:T15 Y15:Z15">
    <cfRule type="expression" dxfId="342" priority="19" stopIfTrue="1">
      <formula>$J15=$C$2</formula>
    </cfRule>
    <cfRule type="expression" dxfId="341" priority="20" stopIfTrue="1">
      <formula>$J15&lt;&gt;"Serviço"</formula>
    </cfRule>
  </conditionalFormatting>
  <conditionalFormatting sqref="J15">
    <cfRule type="expression" dxfId="337" priority="24" stopIfTrue="1">
      <formula>TipoOrçamento="Licitado"</formula>
    </cfRule>
  </conditionalFormatting>
  <conditionalFormatting sqref="O15">
    <cfRule type="expression" dxfId="336" priority="5" stopIfTrue="1">
      <formula>$J15=$C$2</formula>
    </cfRule>
    <cfRule type="expression" dxfId="335" priority="6" stopIfTrue="1">
      <formula>AND($J15&lt;&gt;"Serviço")</formula>
    </cfRule>
    <cfRule type="expression" dxfId="334" priority="7" stopIfTrue="1">
      <formula>CELL("proteger",O15)</formula>
    </cfRule>
  </conditionalFormatting>
  <conditionalFormatting sqref="N15">
    <cfRule type="expression" dxfId="333" priority="8" stopIfTrue="1">
      <formula>$J15=$C$2</formula>
    </cfRule>
    <cfRule type="expression" dxfId="332" priority="9" stopIfTrue="1">
      <formula>$J15&lt;&gt;"Serviço"</formula>
    </cfRule>
    <cfRule type="expression" dxfId="331" priority="10" stopIfTrue="1">
      <formula>CELL("proteger",N15)</formula>
    </cfRule>
  </conditionalFormatting>
  <conditionalFormatting sqref="L15:M15">
    <cfRule type="expression" dxfId="2" priority="1" stopIfTrue="1">
      <formula>$J15=$C$2</formula>
    </cfRule>
    <cfRule type="expression" dxfId="1" priority="2" stopIfTrue="1">
      <formula>$J15&lt;&gt;"Serviço"</formula>
    </cfRule>
    <cfRule type="expression" dxfId="0" priority="3" stopIfTrue="1">
      <formula>OR(CELL("proteger",L15),$J15="",TipoOrçamento="Licitado")</formula>
    </cfRule>
  </conditionalFormatting>
  <dataValidations count="3">
    <dataValidation type="decimal" operator="greaterThan" allowBlank="1" showInputMessage="1" showErrorMessage="1" error="Apenas números decimais maiores que zero." sqref="Q11 Q13:Q241">
      <formula1>0</formula1>
    </dataValidation>
    <dataValidation type="list" errorStyle="warning" allowBlank="1" showInputMessage="1" showErrorMessage="1" error="Selecione um dos 5 BDI da lista._x000a__x000a_Caso tenha mais de 5 BDI nesta Planilha Orçamentária digite apenas valor percentual." sqref="R11 R13:R241">
      <formula1>Dados.Lista.BDI</formula1>
    </dataValidation>
    <dataValidation type="list" showInputMessage="1" showErrorMessage="1" errorTitle="Erro de Entrada" error="Selecione somente os itens da lista." promptTitle="Nível:" prompt="Selecione na lista o nível de itemização da Planilha." sqref="J11 J14:J241">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253 K256"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248"/>
  <sheetViews>
    <sheetView showGridLines="0" zoomScale="70" zoomScaleNormal="70" workbookViewId="0">
      <selection activeCell="K15" sqref="K15"/>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2" t="s">
        <v>234</v>
      </c>
      <c r="G9" s="362"/>
      <c r="H9" s="362"/>
      <c r="I9" s="362"/>
      <c r="J9" s="362"/>
      <c r="K9" s="362"/>
      <c r="L9" s="362"/>
      <c r="M9" s="362"/>
      <c r="N9" s="362"/>
      <c r="O9" s="362"/>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REFORMA DE COBERTURAS, FORROS E ELÉTRICA - EMEF PRINCESA ISABEL</v>
      </c>
      <c r="D13" s="111" t="str">
        <f ca="1">IF(OFFSET(PO!O$12,ROW(D13)-ROW(D$12),0)=0,"",OFFSET(PO!O$12,ROW(D13)-ROW(D$12),0))</f>
        <v/>
      </c>
      <c r="E13" s="140">
        <f ca="1">IF($A13&lt;&gt;"Serviço",0,ROUND(SUMIF($F$9:$P$9,"&lt;&gt;",$F13:$P13),15-13*PO!$X$3))</f>
        <v>0</v>
      </c>
      <c r="F13" s="361">
        <f ca="1">OFFSET(PO!$P$12,ROW($E13)-ROW(F$12),0)</f>
        <v>0</v>
      </c>
      <c r="G13" s="361"/>
      <c r="H13" s="361"/>
      <c r="I13" s="361"/>
      <c r="J13" s="361"/>
      <c r="K13" s="361"/>
      <c r="L13" s="361"/>
      <c r="M13" s="361"/>
      <c r="N13" s="361"/>
      <c r="O13" s="361"/>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361">
        <f ca="1">OFFSET(PO!$P$12,ROW($E14)-ROW(F$12),0)</f>
        <v>4.5</v>
      </c>
      <c r="G14" s="361"/>
      <c r="H14" s="361"/>
      <c r="I14" s="361"/>
      <c r="J14" s="361"/>
      <c r="K14" s="361"/>
      <c r="L14" s="361"/>
      <c r="M14" s="361"/>
      <c r="N14" s="361"/>
      <c r="O14" s="361"/>
      <c r="U14" s="182"/>
    </row>
    <row r="15" spans="1:21" s="1" customFormat="1" x14ac:dyDescent="0.2">
      <c r="A15" s="110" t="str">
        <f ca="1">OFFSET(PO!J$12,ROW(A15)-ROW($A$12),0)</f>
        <v>Serviço</v>
      </c>
      <c r="B15" s="112" t="str">
        <f ca="1">IF($A15=0,"",OFFSET(PO!K$12,ROW(B15)-ROW(B$12),0))</f>
        <v>1.1.0.0.1.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361">
        <f ca="1">OFFSET(PO!$P$12,ROW($E15)-ROW(F$12),0)</f>
        <v>4.5</v>
      </c>
      <c r="G15" s="361"/>
      <c r="H15" s="361"/>
      <c r="I15" s="361"/>
      <c r="J15" s="361"/>
      <c r="K15" s="361"/>
      <c r="L15" s="361"/>
      <c r="M15" s="361"/>
      <c r="N15" s="361"/>
      <c r="O15" s="361"/>
      <c r="U15" s="182"/>
    </row>
    <row r="16" spans="1:21" s="1" customFormat="1" x14ac:dyDescent="0.2">
      <c r="A16" s="110" t="str">
        <f ca="1">OFFSET(PO!J$12,ROW(A16)-ROW($A$12),0)</f>
        <v>Serviço</v>
      </c>
      <c r="B16" s="112" t="str">
        <f ca="1">IF($A16=0,"",OFFSET(PO!K$12,ROW(B16)-ROW(B$12),0))</f>
        <v>1.1.0.0.2.</v>
      </c>
      <c r="C16" s="109" t="str">
        <f ca="1">IF(OFFSET(PO!N$12,ROW(C16)-ROW(C$12),0)=0,"",OFFSET(PO!N$12,ROW(C16)-ROW(C$12),0))</f>
        <v>ADMINISTRAÇÃO LOCAL DE OBRA</v>
      </c>
      <c r="D16" s="111" t="str">
        <f ca="1">IF(OFFSET(PO!O$12,ROW(D16)-ROW(D$12),0)=0,"",OFFSET(PO!O$12,ROW(D16)-ROW(D$12),0))</f>
        <v>UN</v>
      </c>
      <c r="E16" s="140">
        <f ca="1">IF($A16&lt;&gt;"Serviço",0,ROUND(SUMIF($F$9:$P$9,"&lt;&gt;",$F16:$P16),15-13*PO!$X$3))</f>
        <v>1</v>
      </c>
      <c r="F16" s="361">
        <f ca="1">OFFSET(PO!$P$12,ROW($E16)-ROW(F$12),0)</f>
        <v>1</v>
      </c>
      <c r="G16" s="361"/>
      <c r="H16" s="361"/>
      <c r="I16" s="361"/>
      <c r="J16" s="361"/>
      <c r="K16" s="361"/>
      <c r="L16" s="361"/>
      <c r="M16" s="361"/>
      <c r="N16" s="361"/>
      <c r="O16" s="361"/>
      <c r="U16" s="182"/>
    </row>
    <row r="17" spans="1:21" s="1" customFormat="1" ht="38.25" x14ac:dyDescent="0.2">
      <c r="A17" s="110" t="str">
        <f ca="1">OFFSET(PO!J$12,ROW(A17)-ROW($A$12),0)</f>
        <v>Serviço</v>
      </c>
      <c r="B17" s="112" t="str">
        <f ca="1">IF($A17=0,"",OFFSET(PO!K$12,ROW(B17)-ROW(B$12),0))</f>
        <v>1.1.0.0.3.</v>
      </c>
      <c r="C17" s="109" t="str">
        <f ca="1">IF(OFFSET(PO!N$12,ROW(C17)-ROW(C$12),0)=0,"",OFFSET(PO!N$12,ROW(C17)-ROW(C$12),0))</f>
        <v>LOCACAO DE CONTAINER 2,30 X 6,00 M, ALT. 2,50 M, COM 1 SANITARIO, PARA ESCRITORIO, COMPLETO, SEM DIVISORIAS INTERNAS (NAO INCLUI MOBILIZACAO/DESMOBILIZACAO)</v>
      </c>
      <c r="D17" s="111" t="str">
        <f ca="1">IF(OFFSET(PO!O$12,ROW(D17)-ROW(D$12),0)=0,"",OFFSET(PO!O$12,ROW(D17)-ROW(D$12),0))</f>
        <v>MES</v>
      </c>
      <c r="E17" s="140">
        <f ca="1">IF($A17&lt;&gt;"Serviço",0,ROUND(SUMIF($F$9:$P$9,"&lt;&gt;",$F17:$P17),15-13*PO!$X$3))</f>
        <v>4</v>
      </c>
      <c r="F17" s="361">
        <f ca="1">OFFSET(PO!$P$12,ROW($E17)-ROW(F$12),0)</f>
        <v>4</v>
      </c>
      <c r="G17" s="361"/>
      <c r="H17" s="361"/>
      <c r="I17" s="361"/>
      <c r="J17" s="361"/>
      <c r="K17" s="361"/>
      <c r="L17" s="361"/>
      <c r="M17" s="361"/>
      <c r="N17" s="361"/>
      <c r="O17" s="361"/>
      <c r="U17" s="182"/>
    </row>
    <row r="18" spans="1:21" s="1" customFormat="1" ht="25.5" x14ac:dyDescent="0.2">
      <c r="A18" s="110" t="str">
        <f ca="1">OFFSET(PO!J$12,ROW(A18)-ROW($A$12),0)</f>
        <v>Serviço</v>
      </c>
      <c r="B18" s="112" t="str">
        <f ca="1">IF($A18=0,"",OFFSET(PO!K$12,ROW(B18)-ROW(B$12),0))</f>
        <v>1.1.0.0.4.</v>
      </c>
      <c r="C18" s="109" t="str">
        <f ca="1">IF(OFFSET(PO!N$12,ROW(C18)-ROW(C$12),0)=0,"",OFFSET(PO!N$12,ROW(C18)-ROW(C$12),0))</f>
        <v>INSTALAÇÃO E DESINSTALAÇÃO MECANIZADA DE CONTÊINER OU MÓDULO HABITÁVEL DE USOS DIVERSOS. AF_03/2024</v>
      </c>
      <c r="D18" s="111" t="str">
        <f ca="1">IF(OFFSET(PO!O$12,ROW(D18)-ROW(D$12),0)=0,"",OFFSET(PO!O$12,ROW(D18)-ROW(D$12),0))</f>
        <v>UN</v>
      </c>
      <c r="E18" s="140">
        <f ca="1">IF($A18&lt;&gt;"Serviço",0,ROUND(SUMIF($F$9:$P$9,"&lt;&gt;",$F18:$P18),15-13*PO!$X$3))</f>
        <v>1</v>
      </c>
      <c r="F18" s="361">
        <f ca="1">OFFSET(PO!$P$12,ROW($E18)-ROW(F$12),0)</f>
        <v>1</v>
      </c>
      <c r="G18" s="361"/>
      <c r="H18" s="361"/>
      <c r="I18" s="361"/>
      <c r="J18" s="361"/>
      <c r="K18" s="361"/>
      <c r="L18" s="361"/>
      <c r="M18" s="361"/>
      <c r="N18" s="361"/>
      <c r="O18" s="361"/>
      <c r="U18" s="182"/>
    </row>
    <row r="19" spans="1:21" s="1" customFormat="1" ht="63.75" x14ac:dyDescent="0.2">
      <c r="A19" s="110" t="str">
        <f ca="1">OFFSET(PO!J$12,ROW(A19)-ROW($A$12),0)</f>
        <v>Serviço</v>
      </c>
      <c r="B19" s="112" t="str">
        <f ca="1">IF($A19=0,"",OFFSET(PO!K$12,ROW(B19)-ROW(B$12),0))</f>
        <v>1.1.0.0.5.</v>
      </c>
      <c r="C19" s="109" t="str">
        <f ca="1">IF(OFFSET(PO!N$12,ROW(C19)-ROW(C$12),0)=0,"",OFFSET(PO!N$12,ROW(C19)-ROW(C$12),0))</f>
        <v>LOCACAO DE ANDAIME METALICO TUBULAR DE ENCAIXE, TIPO DE TORRE, CADA PAINEL COM LARGURA DE 1 ATE 1,5 M E ALTURA DE *1,00* M, INCLUINDO DIAGONAL, BARRAS DE LIGACAO, SAPATAS OU RODIZIOS E DEMAIS ITENS NECESSARIOS A MONTAGEM (NAO INCLUI INSTALACAO)</v>
      </c>
      <c r="D19" s="111" t="str">
        <f ca="1">IF(OFFSET(PO!O$12,ROW(D19)-ROW(D$12),0)=0,"",OFFSET(PO!O$12,ROW(D19)-ROW(D$12),0))</f>
        <v>MXMES</v>
      </c>
      <c r="E19" s="140">
        <f ca="1">IF($A19&lt;&gt;"Serviço",0,ROUND(SUMIF($F$9:$P$9,"&lt;&gt;",$F19:$P19),15-13*PO!$X$3))</f>
        <v>80</v>
      </c>
      <c r="F19" s="361">
        <f ca="1">OFFSET(PO!$P$12,ROW($E19)-ROW(F$12),0)</f>
        <v>80</v>
      </c>
      <c r="G19" s="361"/>
      <c r="H19" s="361"/>
      <c r="I19" s="361"/>
      <c r="J19" s="361"/>
      <c r="K19" s="361"/>
      <c r="L19" s="361"/>
      <c r="M19" s="361"/>
      <c r="N19" s="361"/>
      <c r="O19" s="361"/>
      <c r="U19" s="182"/>
    </row>
    <row r="20" spans="1:21" s="1" customFormat="1" ht="25.5" x14ac:dyDescent="0.2">
      <c r="A20" s="110" t="str">
        <f ca="1">OFFSET(PO!J$12,ROW(A20)-ROW($A$12),0)</f>
        <v>Serviço</v>
      </c>
      <c r="B20" s="112" t="str">
        <f ca="1">IF($A20=0,"",OFFSET(PO!K$12,ROW(B20)-ROW(B$12),0))</f>
        <v>1.1.0.0.6.</v>
      </c>
      <c r="C20" s="109" t="str">
        <f ca="1">IF(OFFSET(PO!N$12,ROW(C20)-ROW(C$12),0)=0,"",OFFSET(PO!N$12,ROW(C20)-ROW(C$12),0))</f>
        <v>MONTAGEM E DESMONTAGEM DE ANDAIME TUBULAR TIPO "TORRE" (EXCLUSIVE ANDAIME E LIMPEZA). AF_03/2024</v>
      </c>
      <c r="D20" s="111" t="str">
        <f ca="1">IF(OFFSET(PO!O$12,ROW(D20)-ROW(D$12),0)=0,"",OFFSET(PO!O$12,ROW(D20)-ROW(D$12),0))</f>
        <v>M</v>
      </c>
      <c r="E20" s="140">
        <f ca="1">IF($A20&lt;&gt;"Serviço",0,ROUND(SUMIF($F$9:$P$9,"&lt;&gt;",$F20:$P20),15-13*PO!$X$3))</f>
        <v>262</v>
      </c>
      <c r="F20" s="361">
        <f ca="1">OFFSET(PO!$P$12,ROW($E20)-ROW(F$12),0)</f>
        <v>262</v>
      </c>
      <c r="G20" s="361"/>
      <c r="H20" s="361"/>
      <c r="I20" s="361"/>
      <c r="J20" s="361"/>
      <c r="K20" s="361"/>
      <c r="L20" s="361"/>
      <c r="M20" s="361"/>
      <c r="N20" s="361"/>
      <c r="O20" s="361"/>
      <c r="U20" s="182"/>
    </row>
    <row r="21" spans="1:21" s="1" customFormat="1" x14ac:dyDescent="0.2">
      <c r="A21" s="110" t="str">
        <f ca="1">OFFSET(PO!J$12,ROW(A21)-ROW($A$12),0)</f>
        <v>Serviço</v>
      </c>
      <c r="B21" s="112" t="str">
        <f ca="1">IF($A21=0,"",OFFSET(PO!K$12,ROW(B21)-ROW(B$12),0))</f>
        <v>1.1.0.0.7.</v>
      </c>
      <c r="C21" s="109" t="str">
        <f ca="1">IF(OFFSET(PO!N$12,ROW(C21)-ROW(C$12),0)=0,"",OFFSET(PO!N$12,ROW(C21)-ROW(C$12),0))</f>
        <v>SINALIZAÇÃO COM TELA PLASTICA LARANJA</v>
      </c>
      <c r="D21" s="111" t="str">
        <f ca="1">IF(OFFSET(PO!O$12,ROW(D21)-ROW(D$12),0)=0,"",OFFSET(PO!O$12,ROW(D21)-ROW(D$12),0))</f>
        <v>M</v>
      </c>
      <c r="E21" s="140">
        <f ca="1">IF($A21&lt;&gt;"Serviço",0,ROUND(SUMIF($F$9:$P$9,"&lt;&gt;",$F21:$P21),15-13*PO!$X$3))</f>
        <v>85</v>
      </c>
      <c r="F21" s="361">
        <f ca="1">OFFSET(PO!$P$12,ROW($E21)-ROW(F$12),0)</f>
        <v>85</v>
      </c>
      <c r="G21" s="361"/>
      <c r="H21" s="361"/>
      <c r="I21" s="361"/>
      <c r="J21" s="361"/>
      <c r="K21" s="361"/>
      <c r="L21" s="361"/>
      <c r="M21" s="361"/>
      <c r="N21" s="361"/>
      <c r="O21" s="361"/>
      <c r="U21" s="182"/>
    </row>
    <row r="22" spans="1:21" s="1" customFormat="1" x14ac:dyDescent="0.2">
      <c r="A22" s="110" t="str">
        <f ca="1">OFFSET(PO!J$12,ROW(A22)-ROW($A$12),0)</f>
        <v>Serviço</v>
      </c>
      <c r="B22" s="112" t="str">
        <f ca="1">IF($A22=0,"",OFFSET(PO!K$12,ROW(B22)-ROW(B$12),0))</f>
        <v>1.1.0.0.8.</v>
      </c>
      <c r="C22" s="109" t="str">
        <f ca="1">IF(OFFSET(PO!N$12,ROW(C22)-ROW(C$12),0)=0,"",OFFSET(PO!N$12,ROW(C22)-ROW(C$12),0))</f>
        <v>TAPUME COM TELHA METÁLICA. AF_03/2024</v>
      </c>
      <c r="D22" s="111" t="str">
        <f ca="1">IF(OFFSET(PO!O$12,ROW(D22)-ROW(D$12),0)=0,"",OFFSET(PO!O$12,ROW(D22)-ROW(D$12),0))</f>
        <v>M2</v>
      </c>
      <c r="E22" s="140">
        <f ca="1">IF($A22&lt;&gt;"Serviço",0,ROUND(SUMIF($F$9:$P$9,"&lt;&gt;",$F22:$P22),15-13*PO!$X$3))</f>
        <v>50</v>
      </c>
      <c r="F22" s="361">
        <f ca="1">OFFSET(PO!$P$12,ROW($E22)-ROW(F$12),0)</f>
        <v>50</v>
      </c>
      <c r="G22" s="361"/>
      <c r="H22" s="361"/>
      <c r="I22" s="361"/>
      <c r="J22" s="361"/>
      <c r="K22" s="361"/>
      <c r="L22" s="361"/>
      <c r="M22" s="361"/>
      <c r="N22" s="361"/>
      <c r="O22" s="361"/>
      <c r="U22" s="182"/>
    </row>
    <row r="23" spans="1:21" s="1" customFormat="1" x14ac:dyDescent="0.2">
      <c r="A23" s="110" t="str">
        <f ca="1">OFFSET(PO!J$12,ROW(A23)-ROW($A$12),0)</f>
        <v>Nível 2</v>
      </c>
      <c r="B23" s="112" t="str">
        <f ca="1">IF($A23=0,"",OFFSET(PO!K$12,ROW(B23)-ROW(B$12),0))</f>
        <v>1.2.</v>
      </c>
      <c r="C23" s="109" t="str">
        <f ca="1">IF(OFFSET(PO!N$12,ROW(C23)-ROW(C$12),0)=0,"",OFFSET(PO!N$12,ROW(C23)-ROW(C$12),0))</f>
        <v>DEMOLIÇÕES, RETIRADAS E ADEQUAÇÕES</v>
      </c>
      <c r="D23" s="111" t="str">
        <f ca="1">IF(OFFSET(PO!O$12,ROW(D23)-ROW(D$12),0)=0,"",OFFSET(PO!O$12,ROW(D23)-ROW(D$12),0))</f>
        <v/>
      </c>
      <c r="E23" s="140">
        <f ca="1">IF($A23&lt;&gt;"Serviço",0,ROUND(SUMIF($F$9:$P$9,"&lt;&gt;",$F23:$P23),15-13*PO!$X$3))</f>
        <v>0</v>
      </c>
      <c r="F23" s="361">
        <f ca="1">OFFSET(PO!$P$12,ROW($E23)-ROW(F$12),0)</f>
        <v>1.96</v>
      </c>
      <c r="G23" s="361"/>
      <c r="H23" s="361"/>
      <c r="I23" s="361"/>
      <c r="J23" s="361"/>
      <c r="K23" s="361"/>
      <c r="L23" s="361"/>
      <c r="M23" s="361"/>
      <c r="N23" s="361"/>
      <c r="O23" s="361"/>
      <c r="U23" s="182"/>
    </row>
    <row r="24" spans="1:21" s="1" customFormat="1" x14ac:dyDescent="0.2">
      <c r="A24" s="110" t="str">
        <f ca="1">OFFSET(PO!J$12,ROW(A24)-ROW($A$12),0)</f>
        <v>Nível 3</v>
      </c>
      <c r="B24" s="112" t="str">
        <f ca="1">IF($A24=0,"",OFFSET(PO!K$12,ROW(B24)-ROW(B$12),0))</f>
        <v>1.2.1.</v>
      </c>
      <c r="C24" s="109" t="str">
        <f ca="1">IF(OFFSET(PO!N$12,ROW(C24)-ROW(C$12),0)=0,"",OFFSET(PO!N$12,ROW(C24)-ROW(C$12),0))</f>
        <v>Coberturas</v>
      </c>
      <c r="D24" s="111" t="str">
        <f ca="1">IF(OFFSET(PO!O$12,ROW(D24)-ROW(D$12),0)=0,"",OFFSET(PO!O$12,ROW(D24)-ROW(D$12),0))</f>
        <v/>
      </c>
      <c r="E24" s="140">
        <f ca="1">IF($A24&lt;&gt;"Serviço",0,ROUND(SUMIF($F$9:$P$9,"&lt;&gt;",$F24:$P24),15-13*PO!$X$3))</f>
        <v>0</v>
      </c>
      <c r="F24" s="361">
        <f ca="1">OFFSET(PO!$P$12,ROW($E24)-ROW(F$12),0)</f>
        <v>0</v>
      </c>
      <c r="G24" s="361"/>
      <c r="H24" s="361"/>
      <c r="I24" s="361"/>
      <c r="J24" s="361"/>
      <c r="K24" s="361"/>
      <c r="L24" s="361"/>
      <c r="M24" s="361"/>
      <c r="N24" s="361"/>
      <c r="O24" s="361"/>
      <c r="U24" s="182"/>
    </row>
    <row r="25" spans="1:21" s="1" customFormat="1" ht="38.25" x14ac:dyDescent="0.2">
      <c r="A25" s="110" t="str">
        <f ca="1">OFFSET(PO!J$12,ROW(A25)-ROW($A$12),0)</f>
        <v>Serviço</v>
      </c>
      <c r="B25" s="112" t="str">
        <f ca="1">IF($A25=0,"",OFFSET(PO!K$12,ROW(B25)-ROW(B$12),0))</f>
        <v>1.2.1.0.1.</v>
      </c>
      <c r="C25" s="109" t="str">
        <f ca="1">IF(OFFSET(PO!N$12,ROW(C25)-ROW(C$12),0)=0,"",OFFSET(PO!N$12,ROW(C25)-ROW(C$12),0))</f>
        <v>REMOÇÃO DE TELHAS DE FIBROCIMENTO METÁLICA E CERÂMICA, DE FORMA MANUAL, SEM REAPROVEITAMENTO. AF_09/2023</v>
      </c>
      <c r="D25" s="111" t="str">
        <f ca="1">IF(OFFSET(PO!O$12,ROW(D25)-ROW(D$12),0)=0,"",OFFSET(PO!O$12,ROW(D25)-ROW(D$12),0))</f>
        <v>M2</v>
      </c>
      <c r="E25" s="140">
        <f ca="1">IF($A25&lt;&gt;"Serviço",0,ROUND(SUMIF($F$9:$P$9,"&lt;&gt;",$F25:$P25),15-13*PO!$X$3))</f>
        <v>1262.72</v>
      </c>
      <c r="F25" s="361">
        <f ca="1">OFFSET(PO!$P$12,ROW($E25)-ROW(F$12),0)</f>
        <v>1262.72</v>
      </c>
      <c r="G25" s="361"/>
      <c r="H25" s="361"/>
      <c r="I25" s="361"/>
      <c r="J25" s="361"/>
      <c r="K25" s="361"/>
      <c r="L25" s="361"/>
      <c r="M25" s="361"/>
      <c r="N25" s="361"/>
      <c r="O25" s="361"/>
      <c r="U25" s="182"/>
    </row>
    <row r="26" spans="1:21" s="1" customFormat="1" ht="38.25" x14ac:dyDescent="0.2">
      <c r="A26" s="110" t="str">
        <f ca="1">OFFSET(PO!J$12,ROW(A26)-ROW($A$12),0)</f>
        <v>Serviço</v>
      </c>
      <c r="B26" s="112" t="str">
        <f ca="1">IF($A26=0,"",OFFSET(PO!K$12,ROW(B26)-ROW(B$12),0))</f>
        <v>1.2.1.0.2.</v>
      </c>
      <c r="C26" s="109" t="str">
        <f ca="1">IF(OFFSET(PO!N$12,ROW(C26)-ROW(C$12),0)=0,"",OFFSET(PO!N$12,ROW(C26)-ROW(C$12),0))</f>
        <v>TRANSPORTE HORIZONTAL MANUAL, DE TELHA DE FIBROCIMENTO OU TELHA ESTRUTURAL DE FIBROCIMENTO, CANALETE 90 OU KALHETÃO (UNIDADE: M2XKM). AF_07/2019</v>
      </c>
      <c r="D26" s="111" t="str">
        <f ca="1">IF(OFFSET(PO!O$12,ROW(D26)-ROW(D$12),0)=0,"",OFFSET(PO!O$12,ROW(D26)-ROW(D$12),0))</f>
        <v>M2XKM</v>
      </c>
      <c r="E26" s="140">
        <f ca="1">IF($A26&lt;&gt;"Serviço",0,ROUND(SUMIF($F$9:$P$9,"&lt;&gt;",$F26:$P26),15-13*PO!$X$3))</f>
        <v>252.54</v>
      </c>
      <c r="F26" s="361">
        <f ca="1">OFFSET(PO!$P$12,ROW($E26)-ROW(F$12),0)</f>
        <v>252.54400000000001</v>
      </c>
      <c r="G26" s="361"/>
      <c r="H26" s="361"/>
      <c r="I26" s="361"/>
      <c r="J26" s="361"/>
      <c r="K26" s="361"/>
      <c r="L26" s="361"/>
      <c r="M26" s="361"/>
      <c r="N26" s="361"/>
      <c r="O26" s="361"/>
      <c r="U26" s="182"/>
    </row>
    <row r="27" spans="1:21" s="1" customFormat="1" ht="25.5" x14ac:dyDescent="0.2">
      <c r="A27" s="110" t="str">
        <f ca="1">OFFSET(PO!J$12,ROW(A27)-ROW($A$12),0)</f>
        <v>Serviço</v>
      </c>
      <c r="B27" s="112" t="str">
        <f ca="1">IF($A27=0,"",OFFSET(PO!K$12,ROW(B27)-ROW(B$12),0))</f>
        <v>1.2.1.0.3.</v>
      </c>
      <c r="C27" s="109" t="str">
        <f ca="1">IF(OFFSET(PO!N$12,ROW(C27)-ROW(C$12),0)=0,"",OFFSET(PO!N$12,ROW(C27)-ROW(C$12),0))</f>
        <v>REMOÇÃO CALHAS E RUFOS, DE FORMA MANUAL, SEM REAPROVEITAMENTO. AF_09/2023</v>
      </c>
      <c r="D27" s="111" t="str">
        <f ca="1">IF(OFFSET(PO!O$12,ROW(D27)-ROW(D$12),0)=0,"",OFFSET(PO!O$12,ROW(D27)-ROW(D$12),0))</f>
        <v>M</v>
      </c>
      <c r="E27" s="140">
        <f ca="1">IF($A27&lt;&gt;"Serviço",0,ROUND(SUMIF($F$9:$P$9,"&lt;&gt;",$F27:$P27),15-13*PO!$X$3))</f>
        <v>185.98</v>
      </c>
      <c r="F27" s="361">
        <f ca="1">OFFSET(PO!$P$12,ROW($E27)-ROW(F$12),0)</f>
        <v>185.98</v>
      </c>
      <c r="G27" s="361"/>
      <c r="H27" s="361"/>
      <c r="I27" s="361"/>
      <c r="J27" s="361"/>
      <c r="K27" s="361"/>
      <c r="L27" s="361"/>
      <c r="M27" s="361"/>
      <c r="N27" s="361"/>
      <c r="O27" s="361"/>
      <c r="U27" s="182"/>
    </row>
    <row r="28" spans="1:21" s="1" customFormat="1" x14ac:dyDescent="0.2">
      <c r="A28" s="110" t="str">
        <f ca="1">OFFSET(PO!J$12,ROW(A28)-ROW($A$12),0)</f>
        <v>Serviço</v>
      </c>
      <c r="B28" s="112" t="str">
        <f ca="1">IF($A28=0,"",OFFSET(PO!K$12,ROW(B28)-ROW(B$12),0))</f>
        <v>1.2.1.0.4.</v>
      </c>
      <c r="C28" s="109" t="str">
        <f ca="1">IF(OFFSET(PO!N$12,ROW(C28)-ROW(C$12),0)=0,"",OFFSET(PO!N$12,ROW(C28)-ROW(C$12),0))</f>
        <v>REMOÇÃO DE TUBOS DE QUEDA PARA SUBSTITUIÇÃO</v>
      </c>
      <c r="D28" s="111" t="str">
        <f ca="1">IF(OFFSET(PO!O$12,ROW(D28)-ROW(D$12),0)=0,"",OFFSET(PO!O$12,ROW(D28)-ROW(D$12),0))</f>
        <v>M</v>
      </c>
      <c r="E28" s="140">
        <f ca="1">IF($A28&lt;&gt;"Serviço",0,ROUND(SUMIF($F$9:$P$9,"&lt;&gt;",$F28:$P28),15-13*PO!$X$3))</f>
        <v>105</v>
      </c>
      <c r="F28" s="361">
        <f ca="1">OFFSET(PO!$P$12,ROW($E28)-ROW(F$12),0)</f>
        <v>105</v>
      </c>
      <c r="G28" s="361"/>
      <c r="H28" s="361"/>
      <c r="I28" s="361"/>
      <c r="J28" s="361"/>
      <c r="K28" s="361"/>
      <c r="L28" s="361"/>
      <c r="M28" s="361"/>
      <c r="N28" s="361"/>
      <c r="O28" s="361"/>
      <c r="U28" s="182"/>
    </row>
    <row r="29" spans="1:21" s="1" customFormat="1" ht="25.5" x14ac:dyDescent="0.2">
      <c r="A29" s="110" t="str">
        <f ca="1">OFFSET(PO!J$12,ROW(A29)-ROW($A$12),0)</f>
        <v>Serviço</v>
      </c>
      <c r="B29" s="112" t="str">
        <f ca="1">IF($A29=0,"",OFFSET(PO!K$12,ROW(B29)-ROW(B$12),0))</f>
        <v>1.2.1.0.5.</v>
      </c>
      <c r="C29" s="109" t="str">
        <f ca="1">IF(OFFSET(PO!N$12,ROW(C29)-ROW(C$12),0)=0,"",OFFSET(PO!N$12,ROW(C29)-ROW(C$12),0))</f>
        <v>TRANSPORTE HORIZONTAL MANUAL, DE CALHA QUADRADA NÚMERO 24 - CORTE 33 (UNIDADE: MXKM). AF_07/2019</v>
      </c>
      <c r="D29" s="111" t="str">
        <f ca="1">IF(OFFSET(PO!O$12,ROW(D29)-ROW(D$12),0)=0,"",OFFSET(PO!O$12,ROW(D29)-ROW(D$12),0))</f>
        <v>MXKM</v>
      </c>
      <c r="E29" s="140">
        <f ca="1">IF($A29&lt;&gt;"Serviço",0,ROUND(SUMIF($F$9:$P$9,"&lt;&gt;",$F29:$P29),15-13*PO!$X$3))</f>
        <v>37.200000000000003</v>
      </c>
      <c r="F29" s="361">
        <f ca="1">OFFSET(PO!$P$12,ROW($E29)-ROW(F$12),0)</f>
        <v>37.195999999999998</v>
      </c>
      <c r="G29" s="361"/>
      <c r="H29" s="361"/>
      <c r="I29" s="361"/>
      <c r="J29" s="361"/>
      <c r="K29" s="361"/>
      <c r="L29" s="361"/>
      <c r="M29" s="361"/>
      <c r="N29" s="361"/>
      <c r="O29" s="361"/>
      <c r="U29" s="182"/>
    </row>
    <row r="30" spans="1:21" s="1" customFormat="1" ht="25.5" x14ac:dyDescent="0.2">
      <c r="A30" s="110" t="str">
        <f ca="1">OFFSET(PO!J$12,ROW(A30)-ROW($A$12),0)</f>
        <v>Serviço</v>
      </c>
      <c r="B30" s="112" t="str">
        <f ca="1">IF($A30=0,"",OFFSET(PO!K$12,ROW(B30)-ROW(B$12),0))</f>
        <v>1.2.1.0.6.</v>
      </c>
      <c r="C30" s="109" t="str">
        <f ca="1">IF(OFFSET(PO!N$12,ROW(C30)-ROW(C$12),0)=0,"",OFFSET(PO!N$12,ROW(C30)-ROW(C$12),0))</f>
        <v>REMOÇÃO DE TRAMA DE MADEIRA PARA COBERTURA, DE FORMA MANUAL, SEM REAPROVEITAMENTO. AF_09/2023</v>
      </c>
      <c r="D30" s="111" t="str">
        <f ca="1">IF(OFFSET(PO!O$12,ROW(D30)-ROW(D$12),0)=0,"",OFFSET(PO!O$12,ROW(D30)-ROW(D$12),0))</f>
        <v>M2</v>
      </c>
      <c r="E30" s="140">
        <f ca="1">IF($A30&lt;&gt;"Serviço",0,ROUND(SUMIF($F$9:$P$9,"&lt;&gt;",$F30:$P30),15-13*PO!$X$3))</f>
        <v>189.41</v>
      </c>
      <c r="F30" s="361">
        <f ca="1">OFFSET(PO!$P$12,ROW($E30)-ROW(F$12),0)</f>
        <v>189.40799999999999</v>
      </c>
      <c r="G30" s="361"/>
      <c r="H30" s="361"/>
      <c r="I30" s="361"/>
      <c r="J30" s="361"/>
      <c r="K30" s="361"/>
      <c r="L30" s="361"/>
      <c r="M30" s="361"/>
      <c r="N30" s="361"/>
      <c r="O30" s="361"/>
      <c r="U30" s="182"/>
    </row>
    <row r="31" spans="1:21" s="1" customFormat="1" x14ac:dyDescent="0.2">
      <c r="A31" s="110" t="str">
        <f ca="1">OFFSET(PO!J$12,ROW(A31)-ROW($A$12),0)</f>
        <v>Nível 3</v>
      </c>
      <c r="B31" s="112" t="str">
        <f ca="1">IF($A31=0,"",OFFSET(PO!K$12,ROW(B31)-ROW(B$12),0))</f>
        <v>1.2.2.</v>
      </c>
      <c r="C31" s="109" t="str">
        <f ca="1">IF(OFFSET(PO!N$12,ROW(C31)-ROW(C$12),0)=0,"",OFFSET(PO!N$12,ROW(C31)-ROW(C$12),0))</f>
        <v>Forros</v>
      </c>
      <c r="D31" s="111" t="str">
        <f ca="1">IF(OFFSET(PO!O$12,ROW(D31)-ROW(D$12),0)=0,"",OFFSET(PO!O$12,ROW(D31)-ROW(D$12),0))</f>
        <v/>
      </c>
      <c r="E31" s="140">
        <f ca="1">IF($A31&lt;&gt;"Serviço",0,ROUND(SUMIF($F$9:$P$9,"&lt;&gt;",$F31:$P31),15-13*PO!$X$3))</f>
        <v>0</v>
      </c>
      <c r="F31" s="361">
        <f ca="1">OFFSET(PO!$P$12,ROW($E31)-ROW(F$12),0)</f>
        <v>0</v>
      </c>
      <c r="G31" s="361"/>
      <c r="H31" s="361"/>
      <c r="I31" s="361"/>
      <c r="J31" s="361"/>
      <c r="K31" s="361"/>
      <c r="L31" s="361"/>
      <c r="M31" s="361"/>
      <c r="N31" s="361"/>
      <c r="O31" s="361"/>
      <c r="U31" s="182"/>
    </row>
    <row r="32" spans="1:21" s="1" customFormat="1" x14ac:dyDescent="0.2">
      <c r="A32" s="110" t="str">
        <f ca="1">OFFSET(PO!J$12,ROW(A32)-ROW($A$12),0)</f>
        <v>Nível 4</v>
      </c>
      <c r="B32" s="112" t="str">
        <f ca="1">IF($A32=0,"",OFFSET(PO!K$12,ROW(B32)-ROW(B$12),0))</f>
        <v>1.2.2.1.</v>
      </c>
      <c r="C32" s="109" t="str">
        <f ca="1">IF(OFFSET(PO!N$12,ROW(C32)-ROW(C$12),0)=0,"",OFFSET(PO!N$12,ROW(C32)-ROW(C$12),0))</f>
        <v>forros internos</v>
      </c>
      <c r="D32" s="111" t="str">
        <f ca="1">IF(OFFSET(PO!O$12,ROW(D32)-ROW(D$12),0)=0,"",OFFSET(PO!O$12,ROW(D32)-ROW(D$12),0))</f>
        <v/>
      </c>
      <c r="E32" s="140">
        <f ca="1">IF($A32&lt;&gt;"Serviço",0,ROUND(SUMIF($F$9:$P$9,"&lt;&gt;",$F32:$P32),15-13*PO!$X$3))</f>
        <v>0</v>
      </c>
      <c r="F32" s="361">
        <f ca="1">OFFSET(PO!$P$12,ROW($E32)-ROW(F$12),0)</f>
        <v>0</v>
      </c>
      <c r="G32" s="361"/>
      <c r="H32" s="361"/>
      <c r="I32" s="361"/>
      <c r="J32" s="361"/>
      <c r="K32" s="361"/>
      <c r="L32" s="361"/>
      <c r="M32" s="361"/>
      <c r="N32" s="361"/>
      <c r="O32" s="361"/>
      <c r="U32" s="182"/>
    </row>
    <row r="33" spans="1:21" s="1" customFormat="1" x14ac:dyDescent="0.2">
      <c r="A33" s="110" t="str">
        <f ca="1">OFFSET(PO!J$12,ROW(A33)-ROW($A$12),0)</f>
        <v>Serviço</v>
      </c>
      <c r="B33" s="112" t="str">
        <f ca="1">IF($A33=0,"",OFFSET(PO!K$12,ROW(B33)-ROW(B$12),0))</f>
        <v>1.2.2.1.1.</v>
      </c>
      <c r="C33" s="109" t="str">
        <f ca="1">IF(OFFSET(PO!N$12,ROW(C33)-ROW(C$12),0)=0,"",OFFSET(PO!N$12,ROW(C33)-ROW(C$12),0))</f>
        <v>REMOÇÃO DE FORRO DE MADEIRA DE FORMA MANUAL</v>
      </c>
      <c r="D33" s="111" t="str">
        <f ca="1">IF(OFFSET(PO!O$12,ROW(D33)-ROW(D$12),0)=0,"",OFFSET(PO!O$12,ROW(D33)-ROW(D$12),0))</f>
        <v>M2</v>
      </c>
      <c r="E33" s="140">
        <f ca="1">IF($A33&lt;&gt;"Serviço",0,ROUND(SUMIF($F$9:$P$9,"&lt;&gt;",$F33:$P33),15-13*PO!$X$3))</f>
        <v>996.15</v>
      </c>
      <c r="F33" s="361">
        <f ca="1">OFFSET(PO!$P$12,ROW($E33)-ROW(F$12),0)</f>
        <v>996.15</v>
      </c>
      <c r="G33" s="361"/>
      <c r="H33" s="361"/>
      <c r="I33" s="361"/>
      <c r="J33" s="361"/>
      <c r="K33" s="361"/>
      <c r="L33" s="361"/>
      <c r="M33" s="361"/>
      <c r="N33" s="361"/>
      <c r="O33" s="361"/>
      <c r="U33" s="182"/>
    </row>
    <row r="34" spans="1:21" s="1" customFormat="1" ht="38.25" x14ac:dyDescent="0.2">
      <c r="A34" s="110" t="str">
        <f ca="1">OFFSET(PO!J$12,ROW(A34)-ROW($A$12),0)</f>
        <v>Serviço</v>
      </c>
      <c r="B34" s="112" t="str">
        <f ca="1">IF($A34=0,"",OFFSET(PO!K$12,ROW(B34)-ROW(B$12),0))</f>
        <v>1.2.2.1.2.</v>
      </c>
      <c r="C34" s="109" t="str">
        <f ca="1">IF(OFFSET(PO!N$12,ROW(C34)-ROW(C$12),0)=0,"",OFFSET(PO!N$12,ROW(C34)-ROW(C$12),0))</f>
        <v>REMOÇÃO DE TRAMA METÁLICA OU DE MADEIRA PARA FORRO, DE FORMA MANUAL, SEM REAPROVEITAMENTO. AF_09/2023</v>
      </c>
      <c r="D34" s="111" t="str">
        <f ca="1">IF(OFFSET(PO!O$12,ROW(D34)-ROW(D$12),0)=0,"",OFFSET(PO!O$12,ROW(D34)-ROW(D$12),0))</f>
        <v>M2</v>
      </c>
      <c r="E34" s="140">
        <f ca="1">IF($A34&lt;&gt;"Serviço",0,ROUND(SUMIF($F$9:$P$9,"&lt;&gt;",$F34:$P34),15-13*PO!$X$3))</f>
        <v>996.15</v>
      </c>
      <c r="F34" s="361">
        <f ca="1">OFFSET(PO!$P$12,ROW($E34)-ROW(F$12),0)</f>
        <v>996.15</v>
      </c>
      <c r="G34" s="361"/>
      <c r="H34" s="361"/>
      <c r="I34" s="361"/>
      <c r="J34" s="361"/>
      <c r="K34" s="361"/>
      <c r="L34" s="361"/>
      <c r="M34" s="361"/>
      <c r="N34" s="361"/>
      <c r="O34" s="361"/>
      <c r="U34" s="182"/>
    </row>
    <row r="35" spans="1:21" s="1" customFormat="1" x14ac:dyDescent="0.2">
      <c r="A35" s="110" t="str">
        <f ca="1">OFFSET(PO!J$12,ROW(A35)-ROW($A$12),0)</f>
        <v>Nível 4</v>
      </c>
      <c r="B35" s="112" t="str">
        <f ca="1">IF($A35=0,"",OFFSET(PO!K$12,ROW(B35)-ROW(B$12),0))</f>
        <v>1.2.2.2.</v>
      </c>
      <c r="C35" s="109" t="str">
        <f ca="1">IF(OFFSET(PO!N$12,ROW(C35)-ROW(C$12),0)=0,"",OFFSET(PO!N$12,ROW(C35)-ROW(C$12),0))</f>
        <v>forros dos beirais</v>
      </c>
      <c r="D35" s="111" t="str">
        <f ca="1">IF(OFFSET(PO!O$12,ROW(D35)-ROW(D$12),0)=0,"",OFFSET(PO!O$12,ROW(D35)-ROW(D$12),0))</f>
        <v/>
      </c>
      <c r="E35" s="140">
        <f ca="1">IF($A35&lt;&gt;"Serviço",0,ROUND(SUMIF($F$9:$P$9,"&lt;&gt;",$F35:$P35),15-13*PO!$X$3))</f>
        <v>0</v>
      </c>
      <c r="F35" s="361">
        <f ca="1">OFFSET(PO!$P$12,ROW($E35)-ROW(F$12),0)</f>
        <v>0</v>
      </c>
      <c r="G35" s="361"/>
      <c r="H35" s="361"/>
      <c r="I35" s="361"/>
      <c r="J35" s="361"/>
      <c r="K35" s="361"/>
      <c r="L35" s="361"/>
      <c r="M35" s="361"/>
      <c r="N35" s="361"/>
      <c r="O35" s="361"/>
      <c r="U35" s="182"/>
    </row>
    <row r="36" spans="1:21" s="1" customFormat="1" x14ac:dyDescent="0.2">
      <c r="A36" s="110" t="str">
        <f ca="1">OFFSET(PO!J$12,ROW(A36)-ROW($A$12),0)</f>
        <v>Serviço</v>
      </c>
      <c r="B36" s="112" t="str">
        <f ca="1">IF($A36=0,"",OFFSET(PO!K$12,ROW(B36)-ROW(B$12),0))</f>
        <v>1.2.2.2.1.</v>
      </c>
      <c r="C36" s="109" t="str">
        <f ca="1">IF(OFFSET(PO!N$12,ROW(C36)-ROW(C$12),0)=0,"",OFFSET(PO!N$12,ROW(C36)-ROW(C$12),0))</f>
        <v>REMOÇÃO DE FORRO DE MADEIRA DE FORMA MANUAL</v>
      </c>
      <c r="D36" s="111" t="str">
        <f ca="1">IF(OFFSET(PO!O$12,ROW(D36)-ROW(D$12),0)=0,"",OFFSET(PO!O$12,ROW(D36)-ROW(D$12),0))</f>
        <v>M2</v>
      </c>
      <c r="E36" s="140">
        <f ca="1">IF($A36&lt;&gt;"Serviço",0,ROUND(SUMIF($F$9:$P$9,"&lt;&gt;",$F36:$P36),15-13*PO!$X$3))</f>
        <v>156.30000000000001</v>
      </c>
      <c r="F36" s="361">
        <f ca="1">OFFSET(PO!$P$12,ROW($E36)-ROW(F$12),0)</f>
        <v>156.30000000000001</v>
      </c>
      <c r="G36" s="361"/>
      <c r="H36" s="361"/>
      <c r="I36" s="361"/>
      <c r="J36" s="361"/>
      <c r="K36" s="361"/>
      <c r="L36" s="361"/>
      <c r="M36" s="361"/>
      <c r="N36" s="361"/>
      <c r="O36" s="361"/>
      <c r="U36" s="182"/>
    </row>
    <row r="37" spans="1:21" s="1" customFormat="1" ht="38.25" x14ac:dyDescent="0.2">
      <c r="A37" s="110" t="str">
        <f ca="1">OFFSET(PO!J$12,ROW(A37)-ROW($A$12),0)</f>
        <v>Serviço</v>
      </c>
      <c r="B37" s="112" t="str">
        <f ca="1">IF($A37=0,"",OFFSET(PO!K$12,ROW(B37)-ROW(B$12),0))</f>
        <v>1.2.2.2.2.</v>
      </c>
      <c r="C37" s="109" t="str">
        <f ca="1">IF(OFFSET(PO!N$12,ROW(C37)-ROW(C$12),0)=0,"",OFFSET(PO!N$12,ROW(C37)-ROW(C$12),0))</f>
        <v>REMOÇÃO DE TRAMA METÁLICA OU DE MADEIRA PARA FORRO, DE FORMA MANUAL, SEM REAPROVEITAMENTO. AF_09/2023</v>
      </c>
      <c r="D37" s="111" t="str">
        <f ca="1">IF(OFFSET(PO!O$12,ROW(D37)-ROW(D$12),0)=0,"",OFFSET(PO!O$12,ROW(D37)-ROW(D$12),0))</f>
        <v>M2</v>
      </c>
      <c r="E37" s="140">
        <f ca="1">IF($A37&lt;&gt;"Serviço",0,ROUND(SUMIF($F$9:$P$9,"&lt;&gt;",$F37:$P37),15-13*PO!$X$3))</f>
        <v>156.30000000000001</v>
      </c>
      <c r="F37" s="361">
        <f ca="1">OFFSET(PO!$P$12,ROW($E37)-ROW(F$12),0)</f>
        <v>156.30000000000001</v>
      </c>
      <c r="G37" s="361"/>
      <c r="H37" s="361"/>
      <c r="I37" s="361"/>
      <c r="J37" s="361"/>
      <c r="K37" s="361"/>
      <c r="L37" s="361"/>
      <c r="M37" s="361"/>
      <c r="N37" s="361"/>
      <c r="O37" s="361"/>
      <c r="U37" s="182"/>
    </row>
    <row r="38" spans="1:21" s="1" customFormat="1" ht="25.5" x14ac:dyDescent="0.2">
      <c r="A38" s="110" t="str">
        <f ca="1">OFFSET(PO!J$12,ROW(A38)-ROW($A$12),0)</f>
        <v>Nível 3</v>
      </c>
      <c r="B38" s="112" t="str">
        <f ca="1">IF($A38=0,"",OFFSET(PO!K$12,ROW(B38)-ROW(B$12),0))</f>
        <v>1.2.3.</v>
      </c>
      <c r="C38" s="109" t="str">
        <f ca="1">IF(OFFSET(PO!N$12,ROW(C38)-ROW(C$12),0)=0,"",OFFSET(PO!N$12,ROW(C38)-ROW(C$12),0))</f>
        <v>Remoção de caixa d'água e demolição de laje de cobertura dos banheiros do prédio de 2 pavimentos</v>
      </c>
      <c r="D38" s="111" t="str">
        <f ca="1">IF(OFFSET(PO!O$12,ROW(D38)-ROW(D$12),0)=0,"",OFFSET(PO!O$12,ROW(D38)-ROW(D$12),0))</f>
        <v/>
      </c>
      <c r="E38" s="140">
        <f ca="1">IF($A38&lt;&gt;"Serviço",0,ROUND(SUMIF($F$9:$P$9,"&lt;&gt;",$F38:$P38),15-13*PO!$X$3))</f>
        <v>0</v>
      </c>
      <c r="F38" s="361">
        <f ca="1">OFFSET(PO!$P$12,ROW($E38)-ROW(F$12),0)</f>
        <v>0</v>
      </c>
      <c r="G38" s="361"/>
      <c r="H38" s="361"/>
      <c r="I38" s="361"/>
      <c r="J38" s="361"/>
      <c r="K38" s="361"/>
      <c r="L38" s="361"/>
      <c r="M38" s="361"/>
      <c r="N38" s="361"/>
      <c r="O38" s="361"/>
      <c r="U38" s="182"/>
    </row>
    <row r="39" spans="1:21" s="1" customFormat="1" ht="25.5" x14ac:dyDescent="0.2">
      <c r="A39" s="110" t="str">
        <f ca="1">OFFSET(PO!J$12,ROW(A39)-ROW($A$12),0)</f>
        <v>Serviço</v>
      </c>
      <c r="B39" s="112" t="str">
        <f ca="1">IF($A39=0,"",OFFSET(PO!K$12,ROW(B39)-ROW(B$12),0))</f>
        <v>1.2.3.0.1.</v>
      </c>
      <c r="C39" s="109" t="str">
        <f ca="1">IF(OFFSET(PO!N$12,ROW(C39)-ROW(C$12),0)=0,"",OFFSET(PO!N$12,ROW(C39)-ROW(C$12),0))</f>
        <v xml:space="preserve">REMOÇÃO DE RESERVATÓRIO DE ÁGUA DE POLIETILENO OU FIBRA, SEM REAPROVEITAMENTO       </v>
      </c>
      <c r="D39" s="111" t="str">
        <f ca="1">IF(OFFSET(PO!O$12,ROW(D39)-ROW(D$12),0)=0,"",OFFSET(PO!O$12,ROW(D39)-ROW(D$12),0))</f>
        <v>UNIDADE</v>
      </c>
      <c r="E39" s="140">
        <f ca="1">IF($A39&lt;&gt;"Serviço",0,ROUND(SUMIF($F$9:$P$9,"&lt;&gt;",$F39:$P39),15-13*PO!$X$3))</f>
        <v>1</v>
      </c>
      <c r="F39" s="361">
        <f ca="1">OFFSET(PO!$P$12,ROW($E39)-ROW(F$12),0)</f>
        <v>1</v>
      </c>
      <c r="G39" s="361"/>
      <c r="H39" s="361"/>
      <c r="I39" s="361"/>
      <c r="J39" s="361"/>
      <c r="K39" s="361"/>
      <c r="L39" s="361"/>
      <c r="M39" s="361"/>
      <c r="N39" s="361"/>
      <c r="O39" s="361"/>
      <c r="U39" s="182"/>
    </row>
    <row r="40" spans="1:21" s="1" customFormat="1" ht="38.25" x14ac:dyDescent="0.2">
      <c r="A40" s="110" t="str">
        <f ca="1">OFFSET(PO!J$12,ROW(A40)-ROW($A$12),0)</f>
        <v>Serviço</v>
      </c>
      <c r="B40" s="112" t="str">
        <f ca="1">IF($A40=0,"",OFFSET(PO!K$12,ROW(B40)-ROW(B$12),0))</f>
        <v>1.2.3.0.2.</v>
      </c>
      <c r="C40" s="109" t="str">
        <f ca="1">IF(OFFSET(PO!N$12,ROW(C40)-ROW(C$12),0)=0,"",OFFSET(PO!N$12,ROW(C40)-ROW(C$12),0))</f>
        <v>DEMOLIÇÃO DE LAJES, EM CONCRETO ARMADO, DE FORMA MECANIZADA COM MARTELETE, SEM REAPROVEITAMENTO. AF_09/2023</v>
      </c>
      <c r="D40" s="111" t="str">
        <f ca="1">IF(OFFSET(PO!O$12,ROW(D40)-ROW(D$12),0)=0,"",OFFSET(PO!O$12,ROW(D40)-ROW(D$12),0))</f>
        <v>M3</v>
      </c>
      <c r="E40" s="140">
        <f ca="1">IF($A40&lt;&gt;"Serviço",0,ROUND(SUMIF($F$9:$P$9,"&lt;&gt;",$F40:$P40),15-13*PO!$X$3))</f>
        <v>1.93</v>
      </c>
      <c r="F40" s="361">
        <f ca="1">OFFSET(PO!$P$12,ROW($E40)-ROW(F$12),0)</f>
        <v>1.9280000000000002</v>
      </c>
      <c r="G40" s="361"/>
      <c r="H40" s="361"/>
      <c r="I40" s="361"/>
      <c r="J40" s="361"/>
      <c r="K40" s="361"/>
      <c r="L40" s="361"/>
      <c r="M40" s="361"/>
      <c r="N40" s="361"/>
      <c r="O40" s="361"/>
      <c r="U40" s="182"/>
    </row>
    <row r="41" spans="1:21" s="1" customFormat="1" ht="38.25" x14ac:dyDescent="0.2">
      <c r="A41" s="110" t="str">
        <f ca="1">OFFSET(PO!J$12,ROW(A41)-ROW($A$12),0)</f>
        <v>Serviço</v>
      </c>
      <c r="B41" s="112" t="str">
        <f ca="1">IF($A41=0,"",OFFSET(PO!K$12,ROW(B41)-ROW(B$12),0))</f>
        <v>1.2.3.0.3.</v>
      </c>
      <c r="C41" s="109" t="str">
        <f ca="1">IF(OFFSET(PO!N$12,ROW(C41)-ROW(C$12),0)=0,"",OFFSET(PO!N$12,ROW(C41)-ROW(C$12),0))</f>
        <v>REMOÇÃO DE TUBULAÇÕES (TUBOS E CONEXÕES) DE ÁGUA FRIA, DE FORMA MANUAL, SEM REAPROVEITAMENTO. AF_09/2023</v>
      </c>
      <c r="D41" s="111" t="str">
        <f ca="1">IF(OFFSET(PO!O$12,ROW(D41)-ROW(D$12),0)=0,"",OFFSET(PO!O$12,ROW(D41)-ROW(D$12),0))</f>
        <v>M</v>
      </c>
      <c r="E41" s="140">
        <f ca="1">IF($A41&lt;&gt;"Serviço",0,ROUND(SUMIF($F$9:$P$9,"&lt;&gt;",$F41:$P41),15-13*PO!$X$3))</f>
        <v>4</v>
      </c>
      <c r="F41" s="361">
        <f ca="1">OFFSET(PO!$P$12,ROW($E41)-ROW(F$12),0)</f>
        <v>4</v>
      </c>
      <c r="G41" s="361"/>
      <c r="H41" s="361"/>
      <c r="I41" s="361"/>
      <c r="J41" s="361"/>
      <c r="K41" s="361"/>
      <c r="L41" s="361"/>
      <c r="M41" s="361"/>
      <c r="N41" s="361"/>
      <c r="O41" s="361"/>
      <c r="U41" s="182"/>
    </row>
    <row r="42" spans="1:21" s="1" customFormat="1" x14ac:dyDescent="0.2">
      <c r="A42" s="110" t="str">
        <f ca="1">OFFSET(PO!J$12,ROW(A42)-ROW($A$12),0)</f>
        <v>Nível 2</v>
      </c>
      <c r="B42" s="112" t="str">
        <f ca="1">IF($A42=0,"",OFFSET(PO!K$12,ROW(B42)-ROW(B$12),0))</f>
        <v>1.3.</v>
      </c>
      <c r="C42" s="109" t="str">
        <f ca="1">IF(OFFSET(PO!N$12,ROW(C42)-ROW(C$12),0)=0,"",OFFSET(PO!N$12,ROW(C42)-ROW(C$12),0))</f>
        <v>COBERTURA DOS BANHEIROS DO PRÉDIO DE 2 PAVIMENTOS</v>
      </c>
      <c r="D42" s="111" t="str">
        <f ca="1">IF(OFFSET(PO!O$12,ROW(D42)-ROW(D$12),0)=0,"",OFFSET(PO!O$12,ROW(D42)-ROW(D$12),0))</f>
        <v/>
      </c>
      <c r="E42" s="140">
        <f ca="1">IF($A42&lt;&gt;"Serviço",0,ROUND(SUMIF($F$9:$P$9,"&lt;&gt;",$F42:$P42),15-13*PO!$X$3))</f>
        <v>0</v>
      </c>
      <c r="F42" s="361">
        <f ca="1">OFFSET(PO!$P$12,ROW($E42)-ROW(F$12),0)</f>
        <v>0</v>
      </c>
      <c r="G42" s="361"/>
      <c r="H42" s="361"/>
      <c r="I42" s="361"/>
      <c r="J42" s="361"/>
      <c r="K42" s="361"/>
      <c r="L42" s="361"/>
      <c r="M42" s="361"/>
      <c r="N42" s="361"/>
      <c r="O42" s="361"/>
      <c r="U42" s="182"/>
    </row>
    <row r="43" spans="1:21" s="1" customFormat="1" x14ac:dyDescent="0.2">
      <c r="A43" s="110" t="str">
        <f ca="1">OFFSET(PO!J$12,ROW(A43)-ROW($A$12),0)</f>
        <v>Nível 3</v>
      </c>
      <c r="B43" s="112" t="str">
        <f ca="1">IF($A43=0,"",OFFSET(PO!K$12,ROW(B43)-ROW(B$12),0))</f>
        <v>1.3.1.</v>
      </c>
      <c r="C43" s="109" t="str">
        <f ca="1">IF(OFFSET(PO!N$12,ROW(C43)-ROW(C$12),0)=0,"",OFFSET(PO!N$12,ROW(C43)-ROW(C$12),0))</f>
        <v>Laje de cobertura dos banheiros</v>
      </c>
      <c r="D43" s="111" t="str">
        <f ca="1">IF(OFFSET(PO!O$12,ROW(D43)-ROW(D$12),0)=0,"",OFFSET(PO!O$12,ROW(D43)-ROW(D$12),0))</f>
        <v/>
      </c>
      <c r="E43" s="140">
        <f ca="1">IF($A43&lt;&gt;"Serviço",0,ROUND(SUMIF($F$9:$P$9,"&lt;&gt;",$F43:$P43),15-13*PO!$X$3))</f>
        <v>0</v>
      </c>
      <c r="F43" s="361">
        <f ca="1">OFFSET(PO!$P$12,ROW($E43)-ROW(F$12),0)</f>
        <v>0</v>
      </c>
      <c r="G43" s="361"/>
      <c r="H43" s="361"/>
      <c r="I43" s="361"/>
      <c r="J43" s="361"/>
      <c r="K43" s="361"/>
      <c r="L43" s="361"/>
      <c r="M43" s="361"/>
      <c r="N43" s="361"/>
      <c r="O43" s="361"/>
      <c r="U43" s="182"/>
    </row>
    <row r="44" spans="1:21" s="1" customFormat="1" ht="25.5" x14ac:dyDescent="0.2">
      <c r="A44" s="110" t="str">
        <f ca="1">OFFSET(PO!J$12,ROW(A44)-ROW($A$12),0)</f>
        <v>Serviço</v>
      </c>
      <c r="B44" s="112" t="str">
        <f ca="1">IF($A44=0,"",OFFSET(PO!K$12,ROW(B44)-ROW(B$12),0))</f>
        <v>1.3.1.0.1.</v>
      </c>
      <c r="C44" s="109" t="str">
        <f ca="1">IF(OFFSET(PO!N$12,ROW(C44)-ROW(C$12),0)=0,"",OFFSET(PO!N$12,ROW(C44)-ROW(C$12),0))</f>
        <v>VIGA CONCRETO ARMADO FCK 25 MPA - ESCOR, FORMA, ARM, LANC, CURA, DES. COMPLETA</v>
      </c>
      <c r="D44" s="111" t="str">
        <f ca="1">IF(OFFSET(PO!O$12,ROW(D44)-ROW(D$12),0)=0,"",OFFSET(PO!O$12,ROW(D44)-ROW(D$12),0))</f>
        <v>M3</v>
      </c>
      <c r="E44" s="140">
        <f ca="1">IF($A44&lt;&gt;"Serviço",0,ROUND(SUMIF($F$9:$P$9,"&lt;&gt;",$F44:$P44),15-13*PO!$X$3))</f>
        <v>1.62</v>
      </c>
      <c r="F44" s="361">
        <f ca="1">OFFSET(PO!$P$12,ROW($E44)-ROW(F$12),0)</f>
        <v>1.62</v>
      </c>
      <c r="G44" s="361"/>
      <c r="H44" s="361"/>
      <c r="I44" s="361"/>
      <c r="J44" s="361"/>
      <c r="K44" s="361"/>
      <c r="L44" s="361"/>
      <c r="M44" s="361"/>
      <c r="N44" s="361"/>
      <c r="O44" s="361"/>
      <c r="U44" s="182"/>
    </row>
    <row r="45" spans="1:21" s="1" customFormat="1" ht="25.5" x14ac:dyDescent="0.2">
      <c r="A45" s="110" t="str">
        <f ca="1">OFFSET(PO!J$12,ROW(A45)-ROW($A$12),0)</f>
        <v>Serviço</v>
      </c>
      <c r="B45" s="112" t="str">
        <f ca="1">IF($A45=0,"",OFFSET(PO!K$12,ROW(B45)-ROW(B$12),0))</f>
        <v>1.3.1.0.2.</v>
      </c>
      <c r="C45" s="109" t="str">
        <f ca="1">IF(OFFSET(PO!N$12,ROW(C45)-ROW(C$12),0)=0,"",OFFSET(PO!N$12,ROW(C45)-ROW(C$12),0))</f>
        <v>LAJE DE CONCRETO ARMADO, FCK 25 MPA, MACIÇA - ESCOR, FORMA, ARM, LANC, CURA, DES, COMPLETA.</v>
      </c>
      <c r="D45" s="111" t="str">
        <f ca="1">IF(OFFSET(PO!O$12,ROW(D45)-ROW(D$12),0)=0,"",OFFSET(PO!O$12,ROW(D45)-ROW(D$12),0))</f>
        <v>M3</v>
      </c>
      <c r="E45" s="140">
        <f ca="1">IF($A45&lt;&gt;"Serviço",0,ROUND(SUMIF($F$9:$P$9,"&lt;&gt;",$F45:$P45),15-13*PO!$X$3))</f>
        <v>2.41</v>
      </c>
      <c r="F45" s="361">
        <f ca="1">OFFSET(PO!$P$12,ROW($E45)-ROW(F$12),0)</f>
        <v>2.41</v>
      </c>
      <c r="G45" s="361"/>
      <c r="H45" s="361"/>
      <c r="I45" s="361"/>
      <c r="J45" s="361"/>
      <c r="K45" s="361"/>
      <c r="L45" s="361"/>
      <c r="M45" s="361"/>
      <c r="N45" s="361"/>
      <c r="O45" s="361"/>
      <c r="U45" s="182"/>
    </row>
    <row r="46" spans="1:21" s="1" customFormat="1" x14ac:dyDescent="0.2">
      <c r="A46" s="110" t="str">
        <f ca="1">OFFSET(PO!J$12,ROW(A46)-ROW($A$12),0)</f>
        <v>Nível 3</v>
      </c>
      <c r="B46" s="112" t="str">
        <f ca="1">IF($A46=0,"",OFFSET(PO!K$12,ROW(B46)-ROW(B$12),0))</f>
        <v>1.3.2.</v>
      </c>
      <c r="C46" s="109" t="str">
        <f ca="1">IF(OFFSET(PO!N$12,ROW(C46)-ROW(C$12),0)=0,"",OFFSET(PO!N$12,ROW(C46)-ROW(C$12),0))</f>
        <v xml:space="preserve">Impermeabilização  </v>
      </c>
      <c r="D46" s="111" t="str">
        <f ca="1">IF(OFFSET(PO!O$12,ROW(D46)-ROW(D$12),0)=0,"",OFFSET(PO!O$12,ROW(D46)-ROW(D$12),0))</f>
        <v/>
      </c>
      <c r="E46" s="140">
        <f ca="1">IF($A46&lt;&gt;"Serviço",0,ROUND(SUMIF($F$9:$P$9,"&lt;&gt;",$F46:$P46),15-13*PO!$X$3))</f>
        <v>0</v>
      </c>
      <c r="F46" s="361">
        <f ca="1">OFFSET(PO!$P$12,ROW($E46)-ROW(F$12),0)</f>
        <v>0</v>
      </c>
      <c r="G46" s="361"/>
      <c r="H46" s="361"/>
      <c r="I46" s="361"/>
      <c r="J46" s="361"/>
      <c r="K46" s="361"/>
      <c r="L46" s="361"/>
      <c r="M46" s="361"/>
      <c r="N46" s="361"/>
      <c r="O46" s="361"/>
      <c r="U46" s="182"/>
    </row>
    <row r="47" spans="1:21" s="1" customFormat="1" ht="51" x14ac:dyDescent="0.2">
      <c r="A47" s="110" t="str">
        <f ca="1">OFFSET(PO!J$12,ROW(A47)-ROW($A$12),0)</f>
        <v>Serviço</v>
      </c>
      <c r="B47" s="112" t="str">
        <f ca="1">IF($A47=0,"",OFFSET(PO!K$12,ROW(B47)-ROW(B$12),0))</f>
        <v>1.3.2.0.1.</v>
      </c>
      <c r="C47" s="109" t="str">
        <f ca="1">IF(OFFSET(PO!N$12,ROW(C47)-ROW(C$12),0)=0,"",OFFSET(PO!N$12,ROW(C47)-ROW(C$12),0))</f>
        <v>CONTRAPISO EM ARGAMASSA TRAÇO 1:4 (CIMENTO E AREIA), PREPARO MECÂNICO COM BETONEIRA 400 L, APLICADO EM ÁREAS MOLHADAS SOBRE LAJE, ADERIDO, ACABAMENTO NÃO REFORÇADO, ESPESSURA 3CM. AF_07/2021</v>
      </c>
      <c r="D47" s="111" t="str">
        <f ca="1">IF(OFFSET(PO!O$12,ROW(D47)-ROW(D$12),0)=0,"",OFFSET(PO!O$12,ROW(D47)-ROW(D$12),0))</f>
        <v>M2</v>
      </c>
      <c r="E47" s="140">
        <f ca="1">IF($A47&lt;&gt;"Serviço",0,ROUND(SUMIF($F$9:$P$9,"&lt;&gt;",$F47:$P47),15-13*PO!$X$3))</f>
        <v>24.1</v>
      </c>
      <c r="F47" s="361">
        <f ca="1">OFFSET(PO!$P$12,ROW($E47)-ROW(F$12),0)</f>
        <v>24.1</v>
      </c>
      <c r="G47" s="361"/>
      <c r="H47" s="361"/>
      <c r="I47" s="361"/>
      <c r="J47" s="361"/>
      <c r="K47" s="361"/>
      <c r="L47" s="361"/>
      <c r="M47" s="361"/>
      <c r="N47" s="361"/>
      <c r="O47" s="361"/>
      <c r="U47" s="182"/>
    </row>
    <row r="48" spans="1:21" s="1" customFormat="1" ht="38.25" x14ac:dyDescent="0.2">
      <c r="A48" s="110" t="str">
        <f ca="1">OFFSET(PO!J$12,ROW(A48)-ROW($A$12),0)</f>
        <v>Serviço</v>
      </c>
      <c r="B48" s="112" t="str">
        <f ca="1">IF($A48=0,"",OFFSET(PO!K$12,ROW(B48)-ROW(B$12),0))</f>
        <v>1.3.2.0.2.</v>
      </c>
      <c r="C48" s="109" t="str">
        <f ca="1">IF(OFFSET(PO!N$12,ROW(C48)-ROW(C$12),0)=0,"",OFFSET(PO!N$12,ROW(C48)-ROW(C$12),0))</f>
        <v>IMPERMEABILIZAÇÃO DE SUPERFÍCIE COM MANTA ASFÁLTICA, UMA CAMADA, INCLUSIVE APLICAÇÃO DE PRIMER ASFÁLTICO, E=4MM. AF_09/2023</v>
      </c>
      <c r="D48" s="111" t="str">
        <f ca="1">IF(OFFSET(PO!O$12,ROW(D48)-ROW(D$12),0)=0,"",OFFSET(PO!O$12,ROW(D48)-ROW(D$12),0))</f>
        <v>M2</v>
      </c>
      <c r="E48" s="140">
        <f ca="1">IF($A48&lt;&gt;"Serviço",0,ROUND(SUMIF($F$9:$P$9,"&lt;&gt;",$F48:$P48),15-13*PO!$X$3))</f>
        <v>24.1</v>
      </c>
      <c r="F48" s="361">
        <f ca="1">OFFSET(PO!$P$12,ROW($E48)-ROW(F$12),0)</f>
        <v>24.1</v>
      </c>
      <c r="G48" s="361"/>
      <c r="H48" s="361"/>
      <c r="I48" s="361"/>
      <c r="J48" s="361"/>
      <c r="K48" s="361"/>
      <c r="L48" s="361"/>
      <c r="M48" s="361"/>
      <c r="N48" s="361"/>
      <c r="O48" s="361"/>
      <c r="U48" s="182"/>
    </row>
    <row r="49" spans="1:21" s="1" customFormat="1" ht="38.25" x14ac:dyDescent="0.2">
      <c r="A49" s="110" t="str">
        <f ca="1">OFFSET(PO!J$12,ROW(A49)-ROW($A$12),0)</f>
        <v>Serviço</v>
      </c>
      <c r="B49" s="112" t="str">
        <f ca="1">IF($A49=0,"",OFFSET(PO!K$12,ROW(B49)-ROW(B$12),0))</f>
        <v>1.3.2.0.3.</v>
      </c>
      <c r="C49" s="109" t="str">
        <f ca="1">IF(OFFSET(PO!N$12,ROW(C49)-ROW(C$12),0)=0,"",OFFSET(PO!N$12,ROW(C49)-ROW(C$12),0))</f>
        <v>PROTEÇÃO MECÂNICA DE SUPERFICIE HORIZONTAL COM ARGAMASSA DE CIMENTO E AREIA, TRAÇO 1:3, E=3CM. AF_09/2023</v>
      </c>
      <c r="D49" s="111" t="str">
        <f ca="1">IF(OFFSET(PO!O$12,ROW(D49)-ROW(D$12),0)=0,"",OFFSET(PO!O$12,ROW(D49)-ROW(D$12),0))</f>
        <v>M2</v>
      </c>
      <c r="E49" s="140">
        <f ca="1">IF($A49&lt;&gt;"Serviço",0,ROUND(SUMIF($F$9:$P$9,"&lt;&gt;",$F49:$P49),15-13*PO!$X$3))</f>
        <v>24.1</v>
      </c>
      <c r="F49" s="361">
        <f ca="1">OFFSET(PO!$P$12,ROW($E49)-ROW(F$12),0)</f>
        <v>24.1</v>
      </c>
      <c r="G49" s="361"/>
      <c r="H49" s="361"/>
      <c r="I49" s="361"/>
      <c r="J49" s="361"/>
      <c r="K49" s="361"/>
      <c r="L49" s="361"/>
      <c r="M49" s="361"/>
      <c r="N49" s="361"/>
      <c r="O49" s="361"/>
      <c r="U49" s="182"/>
    </row>
    <row r="50" spans="1:21" s="1" customFormat="1" ht="25.5" x14ac:dyDescent="0.2">
      <c r="A50" s="110" t="str">
        <f ca="1">OFFSET(PO!J$12,ROW(A50)-ROW($A$12),0)</f>
        <v>Serviço</v>
      </c>
      <c r="B50" s="112" t="str">
        <f ca="1">IF($A50=0,"",OFFSET(PO!K$12,ROW(B50)-ROW(B$12),0))</f>
        <v>1.3.2.0.4.</v>
      </c>
      <c r="C50" s="109" t="str">
        <f ca="1">IF(OFFSET(PO!N$12,ROW(C50)-ROW(C$12),0)=0,"",OFFSET(PO!N$12,ROW(C50)-ROW(C$12),0))</f>
        <v xml:space="preserve">TRATAMENTO DE RALO OU PONTO EMERGENTE EM IMPERMEABILIZAÇÃO COM MANTA ASFÁLTICA, E=4MM </v>
      </c>
      <c r="D50" s="111" t="str">
        <f ca="1">IF(OFFSET(PO!O$12,ROW(D50)-ROW(D$12),0)=0,"",OFFSET(PO!O$12,ROW(D50)-ROW(D$12),0))</f>
        <v>UNIDADE</v>
      </c>
      <c r="E50" s="140">
        <f ca="1">IF($A50&lt;&gt;"Serviço",0,ROUND(SUMIF($F$9:$P$9,"&lt;&gt;",$F50:$P50),15-13*PO!$X$3))</f>
        <v>1</v>
      </c>
      <c r="F50" s="361">
        <f ca="1">OFFSET(PO!$P$12,ROW($E50)-ROW(F$12),0)</f>
        <v>1</v>
      </c>
      <c r="G50" s="361"/>
      <c r="H50" s="361"/>
      <c r="I50" s="361"/>
      <c r="J50" s="361"/>
      <c r="K50" s="361"/>
      <c r="L50" s="361"/>
      <c r="M50" s="361"/>
      <c r="N50" s="361"/>
      <c r="O50" s="361"/>
      <c r="U50" s="182"/>
    </row>
    <row r="51" spans="1:21" s="1" customFormat="1" x14ac:dyDescent="0.2">
      <c r="A51" s="110" t="str">
        <f ca="1">OFFSET(PO!J$12,ROW(A51)-ROW($A$12),0)</f>
        <v>Nível 3</v>
      </c>
      <c r="B51" s="112" t="str">
        <f ca="1">IF($A51=0,"",OFFSET(PO!K$12,ROW(B51)-ROW(B$12),0))</f>
        <v>1.3.3.</v>
      </c>
      <c r="C51" s="109" t="str">
        <f ca="1">IF(OFFSET(PO!N$12,ROW(C51)-ROW(C$12),0)=0,"",OFFSET(PO!N$12,ROW(C51)-ROW(C$12),0))</f>
        <v>Pintura da laje de cobertura</v>
      </c>
      <c r="D51" s="111" t="str">
        <f ca="1">IF(OFFSET(PO!O$12,ROW(D51)-ROW(D$12),0)=0,"",OFFSET(PO!O$12,ROW(D51)-ROW(D$12),0))</f>
        <v/>
      </c>
      <c r="E51" s="140">
        <f ca="1">IF($A51&lt;&gt;"Serviço",0,ROUND(SUMIF($F$9:$P$9,"&lt;&gt;",$F51:$P51),15-13*PO!$X$3))</f>
        <v>0</v>
      </c>
      <c r="F51" s="361">
        <f ca="1">OFFSET(PO!$P$12,ROW($E51)-ROW(F$12),0)</f>
        <v>0</v>
      </c>
      <c r="G51" s="361"/>
      <c r="H51" s="361"/>
      <c r="I51" s="361"/>
      <c r="J51" s="361"/>
      <c r="K51" s="361"/>
      <c r="L51" s="361"/>
      <c r="M51" s="361"/>
      <c r="N51" s="361"/>
      <c r="O51" s="361"/>
      <c r="U51" s="182"/>
    </row>
    <row r="52" spans="1:21" s="1" customFormat="1" ht="25.5" x14ac:dyDescent="0.2">
      <c r="A52" s="110" t="str">
        <f ca="1">OFFSET(PO!J$12,ROW(A52)-ROW($A$12),0)</f>
        <v>Serviço</v>
      </c>
      <c r="B52" s="112" t="str">
        <f ca="1">IF($A52=0,"",OFFSET(PO!K$12,ROW(B52)-ROW(B$12),0))</f>
        <v>1.3.3.0.1.</v>
      </c>
      <c r="C52" s="109" t="str">
        <f ca="1">IF(OFFSET(PO!N$12,ROW(C52)-ROW(C$12),0)=0,"",OFFSET(PO!N$12,ROW(C52)-ROW(C$12),0))</f>
        <v>PREPARO DO PISO CIMENTADO PARA PINTURA - LIXAMENTO E LIMPEZA. AF_05/2021</v>
      </c>
      <c r="D52" s="111" t="str">
        <f ca="1">IF(OFFSET(PO!O$12,ROW(D52)-ROW(D$12),0)=0,"",OFFSET(PO!O$12,ROW(D52)-ROW(D$12),0))</f>
        <v>M2</v>
      </c>
      <c r="E52" s="140">
        <f ca="1">IF($A52&lt;&gt;"Serviço",0,ROUND(SUMIF($F$9:$P$9,"&lt;&gt;",$F52:$P52),15-13*PO!$X$3))</f>
        <v>27.59</v>
      </c>
      <c r="F52" s="361">
        <f ca="1">OFFSET(PO!$P$12,ROW($E52)-ROW(F$12),0)</f>
        <v>27.59</v>
      </c>
      <c r="G52" s="361"/>
      <c r="H52" s="361"/>
      <c r="I52" s="361"/>
      <c r="J52" s="361"/>
      <c r="K52" s="361"/>
      <c r="L52" s="361"/>
      <c r="M52" s="361"/>
      <c r="N52" s="361"/>
      <c r="O52" s="361"/>
      <c r="U52" s="182"/>
    </row>
    <row r="53" spans="1:21" s="1" customFormat="1" ht="25.5" x14ac:dyDescent="0.2">
      <c r="A53" s="110" t="str">
        <f ca="1">OFFSET(PO!J$12,ROW(A53)-ROW($A$12),0)</f>
        <v>Serviço</v>
      </c>
      <c r="B53" s="112" t="str">
        <f ca="1">IF($A53=0,"",OFFSET(PO!K$12,ROW(B53)-ROW(B$12),0))</f>
        <v>1.3.3.0.2.</v>
      </c>
      <c r="C53" s="109" t="str">
        <f ca="1">IF(OFFSET(PO!N$12,ROW(C53)-ROW(C$12),0)=0,"",OFFSET(PO!N$12,ROW(C53)-ROW(C$12),0))</f>
        <v>PINTURA DE PISO COM TINTA ACRÍLICA, APLICAÇÃO MANUAL, 3 DEMÃOS, INCLUSO FUNDO PREPARADOR. AF_05/2021</v>
      </c>
      <c r="D53" s="111" t="str">
        <f ca="1">IF(OFFSET(PO!O$12,ROW(D53)-ROW(D$12),0)=0,"",OFFSET(PO!O$12,ROW(D53)-ROW(D$12),0))</f>
        <v>M2</v>
      </c>
      <c r="E53" s="140">
        <f ca="1">IF($A53&lt;&gt;"Serviço",0,ROUND(SUMIF($F$9:$P$9,"&lt;&gt;",$F53:$P53),15-13*PO!$X$3))</f>
        <v>27.59</v>
      </c>
      <c r="F53" s="361">
        <f ca="1">OFFSET(PO!$P$12,ROW($E53)-ROW(F$12),0)</f>
        <v>27.59</v>
      </c>
      <c r="G53" s="361"/>
      <c r="H53" s="361"/>
      <c r="I53" s="361"/>
      <c r="J53" s="361"/>
      <c r="K53" s="361"/>
      <c r="L53" s="361"/>
      <c r="M53" s="361"/>
      <c r="N53" s="361"/>
      <c r="O53" s="361"/>
      <c r="U53" s="182"/>
    </row>
    <row r="54" spans="1:21" s="1" customFormat="1" x14ac:dyDescent="0.2">
      <c r="A54" s="110" t="str">
        <f ca="1">OFFSET(PO!J$12,ROW(A54)-ROW($A$12),0)</f>
        <v>Nível 2</v>
      </c>
      <c r="B54" s="112" t="str">
        <f ca="1">IF($A54=0,"",OFFSET(PO!K$12,ROW(B54)-ROW(B$12),0))</f>
        <v>1.4.</v>
      </c>
      <c r="C54" s="109" t="str">
        <f ca="1">IF(OFFSET(PO!N$12,ROW(C54)-ROW(C$12),0)=0,"",OFFSET(PO!N$12,ROW(C54)-ROW(C$12),0))</f>
        <v>INSTALAÇÃO DE RESERVATÓRIOS DE ÁGUA</v>
      </c>
      <c r="D54" s="111" t="str">
        <f ca="1">IF(OFFSET(PO!O$12,ROW(D54)-ROW(D$12),0)=0,"",OFFSET(PO!O$12,ROW(D54)-ROW(D$12),0))</f>
        <v/>
      </c>
      <c r="E54" s="140">
        <f ca="1">IF($A54&lt;&gt;"Serviço",0,ROUND(SUMIF($F$9:$P$9,"&lt;&gt;",$F54:$P54),15-13*PO!$X$3))</f>
        <v>0</v>
      </c>
      <c r="F54" s="361">
        <f ca="1">OFFSET(PO!$P$12,ROW($E54)-ROW(F$12),0)</f>
        <v>0</v>
      </c>
      <c r="G54" s="361"/>
      <c r="H54" s="361"/>
      <c r="I54" s="361"/>
      <c r="J54" s="361"/>
      <c r="K54" s="361"/>
      <c r="L54" s="361"/>
      <c r="M54" s="361"/>
      <c r="N54" s="361"/>
      <c r="O54" s="361"/>
      <c r="U54" s="182"/>
    </row>
    <row r="55" spans="1:21" s="1" customFormat="1" x14ac:dyDescent="0.2">
      <c r="A55" s="110" t="str">
        <f ca="1">OFFSET(PO!J$12,ROW(A55)-ROW($A$12),0)</f>
        <v>Nível 3</v>
      </c>
      <c r="B55" s="112" t="str">
        <f ca="1">IF($A55=0,"",OFFSET(PO!K$12,ROW(B55)-ROW(B$12),0))</f>
        <v>1.4.1.</v>
      </c>
      <c r="C55" s="109" t="str">
        <f ca="1">IF(OFFSET(PO!N$12,ROW(C55)-ROW(C$12),0)=0,"",OFFSET(PO!N$12,ROW(C55)-ROW(C$12),0))</f>
        <v>Alimentação</v>
      </c>
      <c r="D55" s="111" t="str">
        <f ca="1">IF(OFFSET(PO!O$12,ROW(D55)-ROW(D$12),0)=0,"",OFFSET(PO!O$12,ROW(D55)-ROW(D$12),0))</f>
        <v/>
      </c>
      <c r="E55" s="140">
        <f ca="1">IF($A55&lt;&gt;"Serviço",0,ROUND(SUMIF($F$9:$P$9,"&lt;&gt;",$F55:$P55),15-13*PO!$X$3))</f>
        <v>0</v>
      </c>
      <c r="F55" s="361">
        <f ca="1">OFFSET(PO!$P$12,ROW($E55)-ROW(F$12),0)</f>
        <v>0</v>
      </c>
      <c r="G55" s="361"/>
      <c r="H55" s="361"/>
      <c r="I55" s="361"/>
      <c r="J55" s="361"/>
      <c r="K55" s="361"/>
      <c r="L55" s="361"/>
      <c r="M55" s="361"/>
      <c r="N55" s="361"/>
      <c r="O55" s="361"/>
      <c r="U55" s="182"/>
    </row>
    <row r="56" spans="1:21" s="1" customFormat="1" ht="38.25" x14ac:dyDescent="0.2">
      <c r="A56" s="110" t="str">
        <f ca="1">OFFSET(PO!J$12,ROW(A56)-ROW($A$12),0)</f>
        <v>Serviço</v>
      </c>
      <c r="B56" s="112" t="str">
        <f ca="1">IF($A56=0,"",OFFSET(PO!K$12,ROW(B56)-ROW(B$12),0))</f>
        <v>1.4.1.0.1.</v>
      </c>
      <c r="C56" s="109" t="str">
        <f ca="1">IF(OFFSET(PO!N$12,ROW(C56)-ROW(C$12),0)=0,"",OFFSET(PO!N$12,ROW(C56)-ROW(C$12),0))</f>
        <v>TUBO, PVC, SOLDÁVEL, DE 25MM, INSTALADO EM RESERVAÇÃO PREDIAL DE ÁGUA - FORNECIMENTO E INSTALAÇÃO. AF_04/2024</v>
      </c>
      <c r="D56" s="111" t="str">
        <f ca="1">IF(OFFSET(PO!O$12,ROW(D56)-ROW(D$12),0)=0,"",OFFSET(PO!O$12,ROW(D56)-ROW(D$12),0))</f>
        <v>M</v>
      </c>
      <c r="E56" s="140">
        <f ca="1">IF($A56&lt;&gt;"Serviço",0,ROUND(SUMIF($F$9:$P$9,"&lt;&gt;",$F56:$P56),15-13*PO!$X$3))</f>
        <v>9.9</v>
      </c>
      <c r="F56" s="361">
        <f ca="1">OFFSET(PO!$P$12,ROW($E56)-ROW(F$12),0)</f>
        <v>9.9</v>
      </c>
      <c r="G56" s="361"/>
      <c r="H56" s="361"/>
      <c r="I56" s="361"/>
      <c r="J56" s="361"/>
      <c r="K56" s="361"/>
      <c r="L56" s="361"/>
      <c r="M56" s="361"/>
      <c r="N56" s="361"/>
      <c r="O56" s="361"/>
      <c r="U56" s="182"/>
    </row>
    <row r="57" spans="1:21" s="1" customFormat="1" ht="38.25" x14ac:dyDescent="0.2">
      <c r="A57" s="110" t="str">
        <f ca="1">OFFSET(PO!J$12,ROW(A57)-ROW($A$12),0)</f>
        <v>Serviço</v>
      </c>
      <c r="B57" s="112" t="str">
        <f ca="1">IF($A57=0,"",OFFSET(PO!K$12,ROW(B57)-ROW(B$12),0))</f>
        <v>1.4.1.0.2.</v>
      </c>
      <c r="C57" s="109" t="str">
        <f ca="1">IF(OFFSET(PO!N$12,ROW(C57)-ROW(C$12),0)=0,"",OFFSET(PO!N$12,ROW(C57)-ROW(C$12),0))</f>
        <v>TÊ, PVC, SOLDÁVEL, DN 25 MM INSTALADO EM RESERVAÇÃO PREDIAL DE ÁGUA - FORNECIMENTO E INSTALAÇÃO. AF_04/2024</v>
      </c>
      <c r="D57" s="111" t="str">
        <f ca="1">IF(OFFSET(PO!O$12,ROW(D57)-ROW(D$12),0)=0,"",OFFSET(PO!O$12,ROW(D57)-ROW(D$12),0))</f>
        <v>UN</v>
      </c>
      <c r="E57" s="140">
        <f ca="1">IF($A57&lt;&gt;"Serviço",0,ROUND(SUMIF($F$9:$P$9,"&lt;&gt;",$F57:$P57),15-13*PO!$X$3))</f>
        <v>1</v>
      </c>
      <c r="F57" s="361">
        <f ca="1">OFFSET(PO!$P$12,ROW($E57)-ROW(F$12),0)</f>
        <v>1</v>
      </c>
      <c r="G57" s="361"/>
      <c r="H57" s="361"/>
      <c r="I57" s="361"/>
      <c r="J57" s="361"/>
      <c r="K57" s="361"/>
      <c r="L57" s="361"/>
      <c r="M57" s="361"/>
      <c r="N57" s="361"/>
      <c r="O57" s="361"/>
      <c r="U57" s="182"/>
    </row>
    <row r="58" spans="1:21" s="1" customFormat="1" ht="38.25" x14ac:dyDescent="0.2">
      <c r="A58" s="110" t="str">
        <f ca="1">OFFSET(PO!J$12,ROW(A58)-ROW($A$12),0)</f>
        <v>Serviço</v>
      </c>
      <c r="B58" s="112" t="str">
        <f ca="1">IF($A58=0,"",OFFSET(PO!K$12,ROW(B58)-ROW(B$12),0))</f>
        <v>1.4.1.0.3.</v>
      </c>
      <c r="C58" s="109" t="str">
        <f ca="1">IF(OFFSET(PO!N$12,ROW(C58)-ROW(C$12),0)=0,"",OFFSET(PO!N$12,ROW(C58)-ROW(C$12),0))</f>
        <v>CURVA 90 GRAUS, PVC, SOLDÁVEL, DN 25 MM, INSTALADO EM RESERVAÇÃO PREDIAL DE ÁGUA - FORNECIMENTO E INSTALAÇÃO. AF_04/2024</v>
      </c>
      <c r="D58" s="111" t="str">
        <f ca="1">IF(OFFSET(PO!O$12,ROW(D58)-ROW(D$12),0)=0,"",OFFSET(PO!O$12,ROW(D58)-ROW(D$12),0))</f>
        <v>UN</v>
      </c>
      <c r="E58" s="140">
        <f ca="1">IF($A58&lt;&gt;"Serviço",0,ROUND(SUMIF($F$9:$P$9,"&lt;&gt;",$F58:$P58),15-13*PO!$X$3))</f>
        <v>11</v>
      </c>
      <c r="F58" s="361">
        <f ca="1">OFFSET(PO!$P$12,ROW($E58)-ROW(F$12),0)</f>
        <v>11</v>
      </c>
      <c r="G58" s="361"/>
      <c r="H58" s="361"/>
      <c r="I58" s="361"/>
      <c r="J58" s="361"/>
      <c r="K58" s="361"/>
      <c r="L58" s="361"/>
      <c r="M58" s="361"/>
      <c r="N58" s="361"/>
      <c r="O58" s="361"/>
      <c r="U58" s="182"/>
    </row>
    <row r="59" spans="1:21" s="1" customFormat="1" ht="38.25" x14ac:dyDescent="0.2">
      <c r="A59" s="110" t="str">
        <f ca="1">OFFSET(PO!J$12,ROW(A59)-ROW($A$12),0)</f>
        <v>Serviço</v>
      </c>
      <c r="B59" s="112" t="str">
        <f ca="1">IF($A59=0,"",OFFSET(PO!K$12,ROW(B59)-ROW(B$12),0))</f>
        <v>1.4.1.0.4.</v>
      </c>
      <c r="C59" s="109" t="str">
        <f ca="1">IF(OFFSET(PO!N$12,ROW(C59)-ROW(C$12),0)=0,"",OFFSET(PO!N$12,ROW(C59)-ROW(C$12),0))</f>
        <v>CURVA PVC 45 GRAUS, SOLDÁVEL, DN 25 MM, INSTALADO EM RESERVAÇÃO PREDIAL DE ÁGUA - FORNECIMENTO E INSTALAÇÃO. AF_04/2024</v>
      </c>
      <c r="D59" s="111" t="str">
        <f ca="1">IF(OFFSET(PO!O$12,ROW(D59)-ROW(D$12),0)=0,"",OFFSET(PO!O$12,ROW(D59)-ROW(D$12),0))</f>
        <v>UN</v>
      </c>
      <c r="E59" s="140">
        <f ca="1">IF($A59&lt;&gt;"Serviço",0,ROUND(SUMIF($F$9:$P$9,"&lt;&gt;",$F59:$P59),15-13*PO!$X$3))</f>
        <v>6</v>
      </c>
      <c r="F59" s="361">
        <f ca="1">OFFSET(PO!$P$12,ROW($E59)-ROW(F$12),0)</f>
        <v>6</v>
      </c>
      <c r="G59" s="361"/>
      <c r="H59" s="361"/>
      <c r="I59" s="361"/>
      <c r="J59" s="361"/>
      <c r="K59" s="361"/>
      <c r="L59" s="361"/>
      <c r="M59" s="361"/>
      <c r="N59" s="361"/>
      <c r="O59" s="361"/>
      <c r="U59" s="182"/>
    </row>
    <row r="60" spans="1:21" s="1" customFormat="1" ht="25.5" x14ac:dyDescent="0.2">
      <c r="A60" s="110" t="str">
        <f ca="1">OFFSET(PO!J$12,ROW(A60)-ROW($A$12),0)</f>
        <v>Serviço</v>
      </c>
      <c r="B60" s="112" t="str">
        <f ca="1">IF($A60=0,"",OFFSET(PO!K$12,ROW(B60)-ROW(B$12),0))</f>
        <v>1.4.1.0.5.</v>
      </c>
      <c r="C60" s="109" t="str">
        <f ca="1">IF(OFFSET(PO!N$12,ROW(C60)-ROW(C$12),0)=0,"",OFFSET(PO!N$12,ROW(C60)-ROW(C$12),0))</f>
        <v>REGISTRO DE ESFERA, PVC, SOLDÁVEL, COM VOLANTE, DN 25 MM - FORNECIMENTO E INSTALAÇÃO. AF_08/2021</v>
      </c>
      <c r="D60" s="111" t="str">
        <f ca="1">IF(OFFSET(PO!O$12,ROW(D60)-ROW(D$12),0)=0,"",OFFSET(PO!O$12,ROW(D60)-ROW(D$12),0))</f>
        <v>UN</v>
      </c>
      <c r="E60" s="140">
        <f ca="1">IF($A60&lt;&gt;"Serviço",0,ROUND(SUMIF($F$9:$P$9,"&lt;&gt;",$F60:$P60),15-13*PO!$X$3))</f>
        <v>2</v>
      </c>
      <c r="F60" s="361">
        <f ca="1">OFFSET(PO!$P$12,ROW($E60)-ROW(F$12),0)</f>
        <v>2</v>
      </c>
      <c r="G60" s="361"/>
      <c r="H60" s="361"/>
      <c r="I60" s="361"/>
      <c r="J60" s="361"/>
      <c r="K60" s="361"/>
      <c r="L60" s="361"/>
      <c r="M60" s="361"/>
      <c r="N60" s="361"/>
      <c r="O60" s="361"/>
      <c r="U60" s="182"/>
    </row>
    <row r="61" spans="1:21" s="1" customFormat="1" ht="51" x14ac:dyDescent="0.2">
      <c r="A61" s="110" t="str">
        <f ca="1">OFFSET(PO!J$12,ROW(A61)-ROW($A$12),0)</f>
        <v>Serviço</v>
      </c>
      <c r="B61" s="112" t="str">
        <f ca="1">IF($A61=0,"",OFFSET(PO!K$12,ROW(B61)-ROW(B$12),0))</f>
        <v>1.4.1.0.6.</v>
      </c>
      <c r="C61" s="109" t="str">
        <f ca="1">IF(OFFSET(PO!N$12,ROW(C61)-ROW(C$12),0)=0,"",OFFSET(PO!N$12,ROW(C61)-ROW(C$12),0))</f>
        <v>ADAPTADOR COM FLANGE E ANEL DE VEDAÇÃO, PVC, SOLDÁVEL, DN 25 MM X 3/4", INSTALADO EM RESERVAÇÃO PREDIAL DE ÁGUA - FORNECIMENTO E INSTALAÇÃO. AF_04/2024</v>
      </c>
      <c r="D61" s="111" t="str">
        <f ca="1">IF(OFFSET(PO!O$12,ROW(D61)-ROW(D$12),0)=0,"",OFFSET(PO!O$12,ROW(D61)-ROW(D$12),0))</f>
        <v>UN</v>
      </c>
      <c r="E61" s="140">
        <f ca="1">IF($A61&lt;&gt;"Serviço",0,ROUND(SUMIF($F$9:$P$9,"&lt;&gt;",$F61:$P61),15-13*PO!$X$3))</f>
        <v>2</v>
      </c>
      <c r="F61" s="361">
        <f ca="1">OFFSET(PO!$P$12,ROW($E61)-ROW(F$12),0)</f>
        <v>2</v>
      </c>
      <c r="G61" s="361"/>
      <c r="H61" s="361"/>
      <c r="I61" s="361"/>
      <c r="J61" s="361"/>
      <c r="K61" s="361"/>
      <c r="L61" s="361"/>
      <c r="M61" s="361"/>
      <c r="N61" s="361"/>
      <c r="O61" s="361"/>
      <c r="U61" s="182"/>
    </row>
    <row r="62" spans="1:21" s="1" customFormat="1" ht="25.5" x14ac:dyDescent="0.2">
      <c r="A62" s="110" t="str">
        <f ca="1">OFFSET(PO!J$12,ROW(A62)-ROW($A$12),0)</f>
        <v>Serviço</v>
      </c>
      <c r="B62" s="112" t="str">
        <f ca="1">IF($A62=0,"",OFFSET(PO!K$12,ROW(B62)-ROW(B$12),0))</f>
        <v>1.4.1.0.7.</v>
      </c>
      <c r="C62" s="109" t="str">
        <f ca="1">IF(OFFSET(PO!N$12,ROW(C62)-ROW(C$12),0)=0,"",OFFSET(PO!N$12,ROW(C62)-ROW(C$12),0))</f>
        <v>TORNEIRA DE BOIA PARA CAIXA D'ÁGUA, ROSCÁVEL, 3/4" - FORNECIMENTO E INSTALAÇÃO. AF_08/2021</v>
      </c>
      <c r="D62" s="111" t="str">
        <f ca="1">IF(OFFSET(PO!O$12,ROW(D62)-ROW(D$12),0)=0,"",OFFSET(PO!O$12,ROW(D62)-ROW(D$12),0))</f>
        <v>UN</v>
      </c>
      <c r="E62" s="140">
        <f ca="1">IF($A62&lt;&gt;"Serviço",0,ROUND(SUMIF($F$9:$P$9,"&lt;&gt;",$F62:$P62),15-13*PO!$X$3))</f>
        <v>2</v>
      </c>
      <c r="F62" s="361">
        <f ca="1">OFFSET(PO!$P$12,ROW($E62)-ROW(F$12),0)</f>
        <v>2</v>
      </c>
      <c r="G62" s="361"/>
      <c r="H62" s="361"/>
      <c r="I62" s="361"/>
      <c r="J62" s="361"/>
      <c r="K62" s="361"/>
      <c r="L62" s="361"/>
      <c r="M62" s="361"/>
      <c r="N62" s="361"/>
      <c r="O62" s="361"/>
      <c r="U62" s="182"/>
    </row>
    <row r="63" spans="1:21" s="1" customFormat="1" ht="25.5" x14ac:dyDescent="0.2">
      <c r="A63" s="110" t="str">
        <f ca="1">OFFSET(PO!J$12,ROW(A63)-ROW($A$12),0)</f>
        <v>Serviço</v>
      </c>
      <c r="B63" s="112" t="str">
        <f ca="1">IF($A63=0,"",OFFSET(PO!K$12,ROW(B63)-ROW(B$12),0))</f>
        <v>1.4.1.0.8.</v>
      </c>
      <c r="C63" s="109" t="str">
        <f ca="1">IF(OFFSET(PO!N$12,ROW(C63)-ROW(C$12),0)=0,"",OFFSET(PO!N$12,ROW(C63)-ROW(C$12),0))</f>
        <v>POLIESTIRENO EXPANDIDO/EPS (ISOPOR), TIPO 2F, PLACA, ISOLAMENTO TERMOACUSTICO, E = 50 MM, 1000 X 500 MM</v>
      </c>
      <c r="D63" s="111" t="str">
        <f ca="1">IF(OFFSET(PO!O$12,ROW(D63)-ROW(D$12),0)=0,"",OFFSET(PO!O$12,ROW(D63)-ROW(D$12),0))</f>
        <v>M2</v>
      </c>
      <c r="E63" s="140">
        <f ca="1">IF($A63&lt;&gt;"Serviço",0,ROUND(SUMIF($F$9:$P$9,"&lt;&gt;",$F63:$P63),15-13*PO!$X$3))</f>
        <v>2</v>
      </c>
      <c r="F63" s="361">
        <f ca="1">OFFSET(PO!$P$12,ROW($E63)-ROW(F$12),0)</f>
        <v>2</v>
      </c>
      <c r="G63" s="361"/>
      <c r="H63" s="361"/>
      <c r="I63" s="361"/>
      <c r="J63" s="361"/>
      <c r="K63" s="361"/>
      <c r="L63" s="361"/>
      <c r="M63" s="361"/>
      <c r="N63" s="361"/>
      <c r="O63" s="361"/>
      <c r="U63" s="182"/>
    </row>
    <row r="64" spans="1:21" s="1" customFormat="1" ht="25.5" x14ac:dyDescent="0.2">
      <c r="A64" s="110" t="str">
        <f ca="1">OFFSET(PO!J$12,ROW(A64)-ROW($A$12),0)</f>
        <v>Serviço</v>
      </c>
      <c r="B64" s="112" t="str">
        <f ca="1">IF($A64=0,"",OFFSET(PO!K$12,ROW(B64)-ROW(B$12),0))</f>
        <v>1.4.1.0.9.</v>
      </c>
      <c r="C64" s="109" t="str">
        <f ca="1">IF(OFFSET(PO!N$12,ROW(C64)-ROW(C$12),0)=0,"",OFFSET(PO!N$12,ROW(C64)-ROW(C$12),0))</f>
        <v>CAIXA D´ÁGUA EM POLIETILENO, 500 LITROS - FORNECIMENTO E INSTALAÇÃO. AF_06/2021</v>
      </c>
      <c r="D64" s="111" t="str">
        <f ca="1">IF(OFFSET(PO!O$12,ROW(D64)-ROW(D$12),0)=0,"",OFFSET(PO!O$12,ROW(D64)-ROW(D$12),0))</f>
        <v>UN</v>
      </c>
      <c r="E64" s="140">
        <f ca="1">IF($A64&lt;&gt;"Serviço",0,ROUND(SUMIF($F$9:$P$9,"&lt;&gt;",$F64:$P64),15-13*PO!$X$3))</f>
        <v>2</v>
      </c>
      <c r="F64" s="361">
        <f ca="1">OFFSET(PO!$P$12,ROW($E64)-ROW(F$12),0)</f>
        <v>2</v>
      </c>
      <c r="G64" s="361"/>
      <c r="H64" s="361"/>
      <c r="I64" s="361"/>
      <c r="J64" s="361"/>
      <c r="K64" s="361"/>
      <c r="L64" s="361"/>
      <c r="M64" s="361"/>
      <c r="N64" s="361"/>
      <c r="O64" s="361"/>
      <c r="U64" s="182"/>
    </row>
    <row r="65" spans="1:21" s="1" customFormat="1" x14ac:dyDescent="0.2">
      <c r="A65" s="110" t="str">
        <f ca="1">OFFSET(PO!J$12,ROW(A65)-ROW($A$12),0)</f>
        <v>Nível 3</v>
      </c>
      <c r="B65" s="112" t="str">
        <f ca="1">IF($A65=0,"",OFFSET(PO!K$12,ROW(B65)-ROW(B$12),0))</f>
        <v>1.4.2.</v>
      </c>
      <c r="C65" s="109" t="str">
        <f ca="1">IF(OFFSET(PO!N$12,ROW(C65)-ROW(C$12),0)=0,"",OFFSET(PO!N$12,ROW(C65)-ROW(C$12),0))</f>
        <v xml:space="preserve">Saída para distribuição e ventilação (SUSPIRO) </v>
      </c>
      <c r="D65" s="111" t="str">
        <f ca="1">IF(OFFSET(PO!O$12,ROW(D65)-ROW(D$12),0)=0,"",OFFSET(PO!O$12,ROW(D65)-ROW(D$12),0))</f>
        <v/>
      </c>
      <c r="E65" s="140">
        <f ca="1">IF($A65&lt;&gt;"Serviço",0,ROUND(SUMIF($F$9:$P$9,"&lt;&gt;",$F65:$P65),15-13*PO!$X$3))</f>
        <v>0</v>
      </c>
      <c r="F65" s="361">
        <f ca="1">OFFSET(PO!$P$12,ROW($E65)-ROW(F$12),0)</f>
        <v>0</v>
      </c>
      <c r="G65" s="361"/>
      <c r="H65" s="361"/>
      <c r="I65" s="361"/>
      <c r="J65" s="361"/>
      <c r="K65" s="361"/>
      <c r="L65" s="361"/>
      <c r="M65" s="361"/>
      <c r="N65" s="361"/>
      <c r="O65" s="361"/>
      <c r="U65" s="182"/>
    </row>
    <row r="66" spans="1:21" s="1" customFormat="1" ht="51" x14ac:dyDescent="0.2">
      <c r="A66" s="110" t="str">
        <f ca="1">OFFSET(PO!J$12,ROW(A66)-ROW($A$12),0)</f>
        <v>Serviço</v>
      </c>
      <c r="B66" s="112" t="str">
        <f ca="1">IF($A66=0,"",OFFSET(PO!K$12,ROW(B66)-ROW(B$12),0))</f>
        <v>1.4.2.0.1.</v>
      </c>
      <c r="C66" s="109" t="str">
        <f ca="1">IF(OFFSET(PO!N$12,ROW(C66)-ROW(C$12),0)=0,"",OFFSET(PO!N$12,ROW(C66)-ROW(C$12),0))</f>
        <v>ADAPTADOR COM FLANGE E ANEL DE VEDAÇÃO, PVC, SOLDÁVEL, DN 32 MM X 1", INSTALADO EM RESERVAÇÃO PREDIAL DE ÁGUA - FORNECIMENTO E INSTALAÇÃO. AF_04/2024</v>
      </c>
      <c r="D66" s="111" t="str">
        <f ca="1">IF(OFFSET(PO!O$12,ROW(D66)-ROW(D$12),0)=0,"",OFFSET(PO!O$12,ROW(D66)-ROW(D$12),0))</f>
        <v>UN</v>
      </c>
      <c r="E66" s="140">
        <f ca="1">IF($A66&lt;&gt;"Serviço",0,ROUND(SUMIF($F$9:$P$9,"&lt;&gt;",$F66:$P66),15-13*PO!$X$3))</f>
        <v>4</v>
      </c>
      <c r="F66" s="361">
        <f ca="1">OFFSET(PO!$P$12,ROW($E66)-ROW(F$12),0)</f>
        <v>4</v>
      </c>
      <c r="G66" s="361"/>
      <c r="H66" s="361"/>
      <c r="I66" s="361"/>
      <c r="J66" s="361"/>
      <c r="K66" s="361"/>
      <c r="L66" s="361"/>
      <c r="M66" s="361"/>
      <c r="N66" s="361"/>
      <c r="O66" s="361"/>
      <c r="U66" s="182"/>
    </row>
    <row r="67" spans="1:21" s="1" customFormat="1" ht="25.5" x14ac:dyDescent="0.2">
      <c r="A67" s="110" t="str">
        <f ca="1">OFFSET(PO!J$12,ROW(A67)-ROW($A$12),0)</f>
        <v>Serviço</v>
      </c>
      <c r="B67" s="112" t="str">
        <f ca="1">IF($A67=0,"",OFFSET(PO!K$12,ROW(B67)-ROW(B$12),0))</f>
        <v>1.4.2.0.2.</v>
      </c>
      <c r="C67" s="109" t="str">
        <f ca="1">IF(OFFSET(PO!N$12,ROW(C67)-ROW(C$12),0)=0,"",OFFSET(PO!N$12,ROW(C67)-ROW(C$12),0))</f>
        <v>REGISTRO DE ESFERA, PVC, SOLDÁVEL, COM VOLANTE, DN 32 MM - FORNECIMENTO E INSTALAÇÃO. AF_08/2021</v>
      </c>
      <c r="D67" s="111" t="str">
        <f ca="1">IF(OFFSET(PO!O$12,ROW(D67)-ROW(D$12),0)=0,"",OFFSET(PO!O$12,ROW(D67)-ROW(D$12),0))</f>
        <v>UN</v>
      </c>
      <c r="E67" s="140">
        <f ca="1">IF($A67&lt;&gt;"Serviço",0,ROUND(SUMIF($F$9:$P$9,"&lt;&gt;",$F67:$P67),15-13*PO!$X$3))</f>
        <v>2</v>
      </c>
      <c r="F67" s="361">
        <f ca="1">OFFSET(PO!$P$12,ROW($E67)-ROW(F$12),0)</f>
        <v>2</v>
      </c>
      <c r="G67" s="361"/>
      <c r="H67" s="361"/>
      <c r="I67" s="361"/>
      <c r="J67" s="361"/>
      <c r="K67" s="361"/>
      <c r="L67" s="361"/>
      <c r="M67" s="361"/>
      <c r="N67" s="361"/>
      <c r="O67" s="361"/>
      <c r="U67" s="182"/>
    </row>
    <row r="68" spans="1:21" s="1" customFormat="1" ht="38.25" x14ac:dyDescent="0.2">
      <c r="A68" s="110" t="str">
        <f ca="1">OFFSET(PO!J$12,ROW(A68)-ROW($A$12),0)</f>
        <v>Serviço</v>
      </c>
      <c r="B68" s="112" t="str">
        <f ca="1">IF($A68=0,"",OFFSET(PO!K$12,ROW(B68)-ROW(B$12),0))</f>
        <v>1.4.2.0.3.</v>
      </c>
      <c r="C68" s="109" t="str">
        <f ca="1">IF(OFFSET(PO!N$12,ROW(C68)-ROW(C$12),0)=0,"",OFFSET(PO!N$12,ROW(C68)-ROW(C$12),0))</f>
        <v>CURVA 90 GRAUS, PVC, SOLDÁVEL, DN 32 MM, INSTALADO EM RESERVAÇÃO PREDIAL DE ÁGUA - FORNECIMENTO E INSTALAÇÃO. AF_04/2024</v>
      </c>
      <c r="D68" s="111" t="str">
        <f ca="1">IF(OFFSET(PO!O$12,ROW(D68)-ROW(D$12),0)=0,"",OFFSET(PO!O$12,ROW(D68)-ROW(D$12),0))</f>
        <v>UN</v>
      </c>
      <c r="E68" s="140">
        <f ca="1">IF($A68&lt;&gt;"Serviço",0,ROUND(SUMIF($F$9:$P$9,"&lt;&gt;",$F68:$P68),15-13*PO!$X$3))</f>
        <v>2</v>
      </c>
      <c r="F68" s="361">
        <f ca="1">OFFSET(PO!$P$12,ROW($E68)-ROW(F$12),0)</f>
        <v>2</v>
      </c>
      <c r="G68" s="361"/>
      <c r="H68" s="361"/>
      <c r="I68" s="361"/>
      <c r="J68" s="361"/>
      <c r="K68" s="361"/>
      <c r="L68" s="361"/>
      <c r="M68" s="361"/>
      <c r="N68" s="361"/>
      <c r="O68" s="361"/>
      <c r="U68" s="182"/>
    </row>
    <row r="69" spans="1:21" s="1" customFormat="1" ht="38.25" x14ac:dyDescent="0.2">
      <c r="A69" s="110" t="str">
        <f ca="1">OFFSET(PO!J$12,ROW(A69)-ROW($A$12),0)</f>
        <v>Serviço</v>
      </c>
      <c r="B69" s="112" t="str">
        <f ca="1">IF($A69=0,"",OFFSET(PO!K$12,ROW(B69)-ROW(B$12),0))</f>
        <v>1.4.2.0.4.</v>
      </c>
      <c r="C69" s="109" t="str">
        <f ca="1">IF(OFFSET(PO!N$12,ROW(C69)-ROW(C$12),0)=0,"",OFFSET(PO!N$12,ROW(C69)-ROW(C$12),0))</f>
        <v>TÊ, PVC, SOLDÁVEL, DN 32 MM INSTALADO EM RESERVAÇÃO PREDIAL DE ÁGUA - FORNECIMENTO E INSTALAÇÃO. AF_04/2024</v>
      </c>
      <c r="D69" s="111" t="str">
        <f ca="1">IF(OFFSET(PO!O$12,ROW(D69)-ROW(D$12),0)=0,"",OFFSET(PO!O$12,ROW(D69)-ROW(D$12),0))</f>
        <v>UN</v>
      </c>
      <c r="E69" s="140">
        <f ca="1">IF($A69&lt;&gt;"Serviço",0,ROUND(SUMIF($F$9:$P$9,"&lt;&gt;",$F69:$P69),15-13*PO!$X$3))</f>
        <v>2</v>
      </c>
      <c r="F69" s="361">
        <f ca="1">OFFSET(PO!$P$12,ROW($E69)-ROW(F$12),0)</f>
        <v>2</v>
      </c>
      <c r="G69" s="361"/>
      <c r="H69" s="361"/>
      <c r="I69" s="361"/>
      <c r="J69" s="361"/>
      <c r="K69" s="361"/>
      <c r="L69" s="361"/>
      <c r="M69" s="361"/>
      <c r="N69" s="361"/>
      <c r="O69" s="361"/>
      <c r="U69" s="182"/>
    </row>
    <row r="70" spans="1:21" s="1" customFormat="1" ht="38.25" x14ac:dyDescent="0.2">
      <c r="A70" s="110" t="str">
        <f ca="1">OFFSET(PO!J$12,ROW(A70)-ROW($A$12),0)</f>
        <v>Serviço</v>
      </c>
      <c r="B70" s="112" t="str">
        <f ca="1">IF($A70=0,"",OFFSET(PO!K$12,ROW(B70)-ROW(B$12),0))</f>
        <v>1.4.2.0.5.</v>
      </c>
      <c r="C70" s="109" t="str">
        <f ca="1">IF(OFFSET(PO!N$12,ROW(C70)-ROW(C$12),0)=0,"",OFFSET(PO!N$12,ROW(C70)-ROW(C$12),0))</f>
        <v>UNIÃO, PVC, SOLDÁVEL, DN 32MM, INSTALADO EM RAMAL DE DISTRIBUIÇÃO DE ÁGUA - FORNECIMENTO E INSTALAÇÃO. AF_06/2022</v>
      </c>
      <c r="D70" s="111" t="str">
        <f ca="1">IF(OFFSET(PO!O$12,ROW(D70)-ROW(D$12),0)=0,"",OFFSET(PO!O$12,ROW(D70)-ROW(D$12),0))</f>
        <v>UN</v>
      </c>
      <c r="E70" s="140">
        <f ca="1">IF($A70&lt;&gt;"Serviço",0,ROUND(SUMIF($F$9:$P$9,"&lt;&gt;",$F70:$P70),15-13*PO!$X$3))</f>
        <v>1</v>
      </c>
      <c r="F70" s="361">
        <f ca="1">OFFSET(PO!$P$12,ROW($E70)-ROW(F$12),0)</f>
        <v>1</v>
      </c>
      <c r="G70" s="361"/>
      <c r="H70" s="361"/>
      <c r="I70" s="361"/>
      <c r="J70" s="361"/>
      <c r="K70" s="361"/>
      <c r="L70" s="361"/>
      <c r="M70" s="361"/>
      <c r="N70" s="361"/>
      <c r="O70" s="361"/>
      <c r="U70" s="182"/>
    </row>
    <row r="71" spans="1:21" s="1" customFormat="1" ht="38.25" x14ac:dyDescent="0.2">
      <c r="A71" s="110" t="str">
        <f ca="1">OFFSET(PO!J$12,ROW(A71)-ROW($A$12),0)</f>
        <v>Serviço</v>
      </c>
      <c r="B71" s="112" t="str">
        <f ca="1">IF($A71=0,"",OFFSET(PO!K$12,ROW(B71)-ROW(B$12),0))</f>
        <v>1.4.2.0.6.</v>
      </c>
      <c r="C71" s="109" t="str">
        <f ca="1">IF(OFFSET(PO!N$12,ROW(C71)-ROW(C$12),0)=0,"",OFFSET(PO!N$12,ROW(C71)-ROW(C$12),0))</f>
        <v>TUBO, PVC, SOLDÁVEL, DE 32MM, INSTALADO EM RESERVAÇÃO PREDIAL DE ÁGUA - FORNECIMENTO E INSTALAÇÃO. AF_04/2024</v>
      </c>
      <c r="D71" s="111" t="str">
        <f ca="1">IF(OFFSET(PO!O$12,ROW(D71)-ROW(D$12),0)=0,"",OFFSET(PO!O$12,ROW(D71)-ROW(D$12),0))</f>
        <v>M</v>
      </c>
      <c r="E71" s="140">
        <f ca="1">IF($A71&lt;&gt;"Serviço",0,ROUND(SUMIF($F$9:$P$9,"&lt;&gt;",$F71:$P71),15-13*PO!$X$3))</f>
        <v>5.6</v>
      </c>
      <c r="F71" s="361">
        <f ca="1">OFFSET(PO!$P$12,ROW($E71)-ROW(F$12),0)</f>
        <v>5.6</v>
      </c>
      <c r="G71" s="361"/>
      <c r="H71" s="361"/>
      <c r="I71" s="361"/>
      <c r="J71" s="361"/>
      <c r="K71" s="361"/>
      <c r="L71" s="361"/>
      <c r="M71" s="361"/>
      <c r="N71" s="361"/>
      <c r="O71" s="361"/>
      <c r="U71" s="182"/>
    </row>
    <row r="72" spans="1:21" s="1" customFormat="1" x14ac:dyDescent="0.2">
      <c r="A72" s="110" t="str">
        <f ca="1">OFFSET(PO!J$12,ROW(A72)-ROW($A$12),0)</f>
        <v>Nível 3</v>
      </c>
      <c r="B72" s="112" t="str">
        <f ca="1">IF($A72=0,"",OFFSET(PO!K$12,ROW(B72)-ROW(B$12),0))</f>
        <v>1.4.3.</v>
      </c>
      <c r="C72" s="109" t="str">
        <f ca="1">IF(OFFSET(PO!N$12,ROW(C72)-ROW(C$12),0)=0,"",OFFSET(PO!N$12,ROW(C72)-ROW(C$12),0))</f>
        <v>Distribuição</v>
      </c>
      <c r="D72" s="111" t="str">
        <f ca="1">IF(OFFSET(PO!O$12,ROW(D72)-ROW(D$12),0)=0,"",OFFSET(PO!O$12,ROW(D72)-ROW(D$12),0))</f>
        <v/>
      </c>
      <c r="E72" s="140">
        <f ca="1">IF($A72&lt;&gt;"Serviço",0,ROUND(SUMIF($F$9:$P$9,"&lt;&gt;",$F72:$P72),15-13*PO!$X$3))</f>
        <v>0</v>
      </c>
      <c r="F72" s="361">
        <f ca="1">OFFSET(PO!$P$12,ROW($E72)-ROW(F$12),0)</f>
        <v>0</v>
      </c>
      <c r="G72" s="361"/>
      <c r="H72" s="361"/>
      <c r="I72" s="361"/>
      <c r="J72" s="361"/>
      <c r="K72" s="361"/>
      <c r="L72" s="361"/>
      <c r="M72" s="361"/>
      <c r="N72" s="361"/>
      <c r="O72" s="361"/>
      <c r="U72" s="182"/>
    </row>
    <row r="73" spans="1:21" s="1" customFormat="1" ht="38.25" x14ac:dyDescent="0.2">
      <c r="A73" s="110" t="str">
        <f ca="1">OFFSET(PO!J$12,ROW(A73)-ROW($A$12),0)</f>
        <v>Serviço</v>
      </c>
      <c r="B73" s="112" t="str">
        <f ca="1">IF($A73=0,"",OFFSET(PO!K$12,ROW(B73)-ROW(B$12),0))</f>
        <v>1.4.3.0.1.</v>
      </c>
      <c r="C73" s="109" t="str">
        <f ca="1">IF(OFFSET(PO!N$12,ROW(C73)-ROW(C$12),0)=0,"",OFFSET(PO!N$12,ROW(C73)-ROW(C$12),0))</f>
        <v>CURVA 90 GRAUS, PVC, SOLDÁVEL, DN 32MM, INSTALADO EM RAMAL DE DISTRIBUIÇÃO DE ÁGUA - FORNECIMENTO E INSTALAÇÃO. AF_06/2022</v>
      </c>
      <c r="D73" s="111" t="str">
        <f ca="1">IF(OFFSET(PO!O$12,ROW(D73)-ROW(D$12),0)=0,"",OFFSET(PO!O$12,ROW(D73)-ROW(D$12),0))</f>
        <v>UN</v>
      </c>
      <c r="E73" s="140">
        <f ca="1">IF($A73&lt;&gt;"Serviço",0,ROUND(SUMIF($F$9:$P$9,"&lt;&gt;",$F73:$P73),15-13*PO!$X$3))</f>
        <v>5</v>
      </c>
      <c r="F73" s="361">
        <f ca="1">OFFSET(PO!$P$12,ROW($E73)-ROW(F$12),0)</f>
        <v>5</v>
      </c>
      <c r="G73" s="361"/>
      <c r="H73" s="361"/>
      <c r="I73" s="361"/>
      <c r="J73" s="361"/>
      <c r="K73" s="361"/>
      <c r="L73" s="361"/>
      <c r="M73" s="361"/>
      <c r="N73" s="361"/>
      <c r="O73" s="361"/>
      <c r="U73" s="182"/>
    </row>
    <row r="74" spans="1:21" s="1" customFormat="1" ht="38.25" x14ac:dyDescent="0.2">
      <c r="A74" s="110" t="str">
        <f ca="1">OFFSET(PO!J$12,ROW(A74)-ROW($A$12),0)</f>
        <v>Serviço</v>
      </c>
      <c r="B74" s="112" t="str">
        <f ca="1">IF($A74=0,"",OFFSET(PO!K$12,ROW(B74)-ROW(B$12),0))</f>
        <v>1.4.3.0.2.</v>
      </c>
      <c r="C74" s="109" t="str">
        <f ca="1">IF(OFFSET(PO!N$12,ROW(C74)-ROW(C$12),0)=0,"",OFFSET(PO!N$12,ROW(C74)-ROW(C$12),0))</f>
        <v>UNIÃO, PVC, SOLDÁVEL, DN 32MM, INSTALADO EM RAMAL DE DISTRIBUIÇÃO DE ÁGUA - FORNECIMENTO E INSTALAÇÃO. AF_06/2022</v>
      </c>
      <c r="D74" s="111" t="str">
        <f ca="1">IF(OFFSET(PO!O$12,ROW(D74)-ROW(D$12),0)=0,"",OFFSET(PO!O$12,ROW(D74)-ROW(D$12),0))</f>
        <v>UN</v>
      </c>
      <c r="E74" s="140">
        <f ca="1">IF($A74&lt;&gt;"Serviço",0,ROUND(SUMIF($F$9:$P$9,"&lt;&gt;",$F74:$P74),15-13*PO!$X$3))</f>
        <v>1</v>
      </c>
      <c r="F74" s="361">
        <f ca="1">OFFSET(PO!$P$12,ROW($E74)-ROW(F$12),0)</f>
        <v>1</v>
      </c>
      <c r="G74" s="361"/>
      <c r="H74" s="361"/>
      <c r="I74" s="361"/>
      <c r="J74" s="361"/>
      <c r="K74" s="361"/>
      <c r="L74" s="361"/>
      <c r="M74" s="361"/>
      <c r="N74" s="361"/>
      <c r="O74" s="361"/>
      <c r="U74" s="182"/>
    </row>
    <row r="75" spans="1:21" s="1" customFormat="1" ht="38.25" x14ac:dyDescent="0.2">
      <c r="A75" s="110" t="str">
        <f ca="1">OFFSET(PO!J$12,ROW(A75)-ROW($A$12),0)</f>
        <v>Serviço</v>
      </c>
      <c r="B75" s="112" t="str">
        <f ca="1">IF($A75=0,"",OFFSET(PO!K$12,ROW(B75)-ROW(B$12),0))</f>
        <v>1.4.3.0.3.</v>
      </c>
      <c r="C75" s="109" t="str">
        <f ca="1">IF(OFFSET(PO!N$12,ROW(C75)-ROW(C$12),0)=0,"",OFFSET(PO!N$12,ROW(C75)-ROW(C$12),0))</f>
        <v>REGISTRO DE GAVETA BRUTO, LATÃO, ROSCÁVEL, 1", COM ACABAMENTO E CANOPLA CROMADOS - FORNECIMENTO E INSTALAÇÃO. AF_08/2021</v>
      </c>
      <c r="D75" s="111" t="str">
        <f ca="1">IF(OFFSET(PO!O$12,ROW(D75)-ROW(D$12),0)=0,"",OFFSET(PO!O$12,ROW(D75)-ROW(D$12),0))</f>
        <v>UN</v>
      </c>
      <c r="E75" s="140">
        <f ca="1">IF($A75&lt;&gt;"Serviço",0,ROUND(SUMIF($F$9:$P$9,"&lt;&gt;",$F75:$P75),15-13*PO!$X$3))</f>
        <v>1</v>
      </c>
      <c r="F75" s="361">
        <f ca="1">OFFSET(PO!$P$12,ROW($E75)-ROW(F$12),0)</f>
        <v>1</v>
      </c>
      <c r="G75" s="361"/>
      <c r="H75" s="361"/>
      <c r="I75" s="361"/>
      <c r="J75" s="361"/>
      <c r="K75" s="361"/>
      <c r="L75" s="361"/>
      <c r="M75" s="361"/>
      <c r="N75" s="361"/>
      <c r="O75" s="361"/>
      <c r="U75" s="182"/>
    </row>
    <row r="76" spans="1:21" s="1" customFormat="1" ht="38.25" x14ac:dyDescent="0.2">
      <c r="A76" s="110" t="str">
        <f ca="1">OFFSET(PO!J$12,ROW(A76)-ROW($A$12),0)</f>
        <v>Serviço</v>
      </c>
      <c r="B76" s="112" t="str">
        <f ca="1">IF($A76=0,"",OFFSET(PO!K$12,ROW(B76)-ROW(B$12),0))</f>
        <v>1.4.3.0.4.</v>
      </c>
      <c r="C76" s="109" t="str">
        <f ca="1">IF(OFFSET(PO!N$12,ROW(C76)-ROW(C$12),0)=0,"",OFFSET(PO!N$12,ROW(C76)-ROW(C$12),0))</f>
        <v>ADAPTADOR CURTO COM BOLSA E ROSCA PARA REGISTRO, PVC, SOLDÁVEL, DN 32MM X 1, INSTALADO EM PRUMADA DE ÁGUA - FORNECIMENTO E INSTALAÇÃO. AF_06/2022</v>
      </c>
      <c r="D76" s="111" t="str">
        <f ca="1">IF(OFFSET(PO!O$12,ROW(D76)-ROW(D$12),0)=0,"",OFFSET(PO!O$12,ROW(D76)-ROW(D$12),0))</f>
        <v>UN</v>
      </c>
      <c r="E76" s="140">
        <f ca="1">IF($A76&lt;&gt;"Serviço",0,ROUND(SUMIF($F$9:$P$9,"&lt;&gt;",$F76:$P76),15-13*PO!$X$3))</f>
        <v>2</v>
      </c>
      <c r="F76" s="361">
        <f ca="1">OFFSET(PO!$P$12,ROW($E76)-ROW(F$12),0)</f>
        <v>2</v>
      </c>
      <c r="G76" s="361"/>
      <c r="H76" s="361"/>
      <c r="I76" s="361"/>
      <c r="J76" s="361"/>
      <c r="K76" s="361"/>
      <c r="L76" s="361"/>
      <c r="M76" s="361"/>
      <c r="N76" s="361"/>
      <c r="O76" s="361"/>
      <c r="U76" s="182"/>
    </row>
    <row r="77" spans="1:21" s="1" customFormat="1" ht="38.25" x14ac:dyDescent="0.2">
      <c r="A77" s="110" t="str">
        <f ca="1">OFFSET(PO!J$12,ROW(A77)-ROW($A$12),0)</f>
        <v>Serviço</v>
      </c>
      <c r="B77" s="112" t="str">
        <f ca="1">IF($A77=0,"",OFFSET(PO!K$12,ROW(B77)-ROW(B$12),0))</f>
        <v>1.4.3.0.5.</v>
      </c>
      <c r="C77" s="109" t="str">
        <f ca="1">IF(OFFSET(PO!N$12,ROW(C77)-ROW(C$12),0)=0,"",OFFSET(PO!N$12,ROW(C77)-ROW(C$12),0))</f>
        <v>TUBO, PVC, SOLDÁVEL, DE 32MM, INSTALADO EM RAMAL DE DISTRIBUIÇÃO DE ÁGUA - FORNECIMENTO E INSTALAÇÃO. AF_06/2022</v>
      </c>
      <c r="D77" s="111" t="str">
        <f ca="1">IF(OFFSET(PO!O$12,ROW(D77)-ROW(D$12),0)=0,"",OFFSET(PO!O$12,ROW(D77)-ROW(D$12),0))</f>
        <v>M</v>
      </c>
      <c r="E77" s="140">
        <f ca="1">IF($A77&lt;&gt;"Serviço",0,ROUND(SUMIF($F$9:$P$9,"&lt;&gt;",$F77:$P77),15-13*PO!$X$3))</f>
        <v>4.5</v>
      </c>
      <c r="F77" s="361">
        <f ca="1">OFFSET(PO!$P$12,ROW($E77)-ROW(F$12),0)</f>
        <v>4.5</v>
      </c>
      <c r="G77" s="361"/>
      <c r="H77" s="361"/>
      <c r="I77" s="361"/>
      <c r="J77" s="361"/>
      <c r="K77" s="361"/>
      <c r="L77" s="361"/>
      <c r="M77" s="361"/>
      <c r="N77" s="361"/>
      <c r="O77" s="361"/>
      <c r="U77" s="182"/>
    </row>
    <row r="78" spans="1:21" s="1" customFormat="1" x14ac:dyDescent="0.2">
      <c r="A78" s="110" t="str">
        <f ca="1">OFFSET(PO!J$12,ROW(A78)-ROW($A$12),0)</f>
        <v>Nível 3</v>
      </c>
      <c r="B78" s="112" t="str">
        <f ca="1">IF($A78=0,"",OFFSET(PO!K$12,ROW(B78)-ROW(B$12),0))</f>
        <v>1.4.4.</v>
      </c>
      <c r="C78" s="109" t="str">
        <f ca="1">IF(OFFSET(PO!N$12,ROW(C78)-ROW(C$12),0)=0,"",OFFSET(PO!N$12,ROW(C78)-ROW(C$12),0))</f>
        <v>Extravasor e limpeza</v>
      </c>
      <c r="D78" s="111" t="str">
        <f ca="1">IF(OFFSET(PO!O$12,ROW(D78)-ROW(D$12),0)=0,"",OFFSET(PO!O$12,ROW(D78)-ROW(D$12),0))</f>
        <v/>
      </c>
      <c r="E78" s="140">
        <f ca="1">IF($A78&lt;&gt;"Serviço",0,ROUND(SUMIF($F$9:$P$9,"&lt;&gt;",$F78:$P78),15-13*PO!$X$3))</f>
        <v>0</v>
      </c>
      <c r="F78" s="361">
        <f ca="1">OFFSET(PO!$P$12,ROW($E78)-ROW(F$12),0)</f>
        <v>0</v>
      </c>
      <c r="G78" s="361"/>
      <c r="H78" s="361"/>
      <c r="I78" s="361"/>
      <c r="J78" s="361"/>
      <c r="K78" s="361"/>
      <c r="L78" s="361"/>
      <c r="M78" s="361"/>
      <c r="N78" s="361"/>
      <c r="O78" s="361"/>
      <c r="U78" s="182"/>
    </row>
    <row r="79" spans="1:21" s="1" customFormat="1" ht="51" x14ac:dyDescent="0.2">
      <c r="A79" s="110" t="str">
        <f ca="1">OFFSET(PO!J$12,ROW(A79)-ROW($A$12),0)</f>
        <v>Serviço</v>
      </c>
      <c r="B79" s="112" t="str">
        <f ca="1">IF($A79=0,"",OFFSET(PO!K$12,ROW(B79)-ROW(B$12),0))</f>
        <v>1.4.4.0.1.</v>
      </c>
      <c r="C79" s="109" t="str">
        <f ca="1">IF(OFFSET(PO!N$12,ROW(C79)-ROW(C$12),0)=0,"",OFFSET(PO!N$12,ROW(C79)-ROW(C$12),0))</f>
        <v>ADAPTADOR COM FLANGE E ANEL DE VEDAÇÃO, PVC, SOLDÁVEL, DN 32 MM X 1", INSTALADO EM RESERVAÇÃO PREDIAL DE ÁGUA - FORNECIMENTO E INSTALAÇÃO. AF_04/2024</v>
      </c>
      <c r="D79" s="111" t="str">
        <f ca="1">IF(OFFSET(PO!O$12,ROW(D79)-ROW(D$12),0)=0,"",OFFSET(PO!O$12,ROW(D79)-ROW(D$12),0))</f>
        <v>UN</v>
      </c>
      <c r="E79" s="140">
        <f ca="1">IF($A79&lt;&gt;"Serviço",0,ROUND(SUMIF($F$9:$P$9,"&lt;&gt;",$F79:$P79),15-13*PO!$X$3))</f>
        <v>4</v>
      </c>
      <c r="F79" s="361">
        <f ca="1">OFFSET(PO!$P$12,ROW($E79)-ROW(F$12),0)</f>
        <v>4</v>
      </c>
      <c r="G79" s="361"/>
      <c r="H79" s="361"/>
      <c r="I79" s="361"/>
      <c r="J79" s="361"/>
      <c r="K79" s="361"/>
      <c r="L79" s="361"/>
      <c r="M79" s="361"/>
      <c r="N79" s="361"/>
      <c r="O79" s="361"/>
      <c r="U79" s="182"/>
    </row>
    <row r="80" spans="1:21" s="1" customFormat="1" ht="25.5" x14ac:dyDescent="0.2">
      <c r="A80" s="110" t="str">
        <f ca="1">OFFSET(PO!J$12,ROW(A80)-ROW($A$12),0)</f>
        <v>Serviço</v>
      </c>
      <c r="B80" s="112" t="str">
        <f ca="1">IF($A80=0,"",OFFSET(PO!K$12,ROW(B80)-ROW(B$12),0))</f>
        <v>1.4.4.0.2.</v>
      </c>
      <c r="C80" s="109" t="str">
        <f ca="1">IF(OFFSET(PO!N$12,ROW(C80)-ROW(C$12),0)=0,"",OFFSET(PO!N$12,ROW(C80)-ROW(C$12),0))</f>
        <v>REGISTRO DE ESFERA, PVC, SOLDÁVEL, COM VOLANTE, DN 32 MM - FORNECIMENTO E INSTALAÇÃO. AF_08/2021</v>
      </c>
      <c r="D80" s="111" t="str">
        <f ca="1">IF(OFFSET(PO!O$12,ROW(D80)-ROW(D$12),0)=0,"",OFFSET(PO!O$12,ROW(D80)-ROW(D$12),0))</f>
        <v>UN</v>
      </c>
      <c r="E80" s="140">
        <f ca="1">IF($A80&lt;&gt;"Serviço",0,ROUND(SUMIF($F$9:$P$9,"&lt;&gt;",$F80:$P80),15-13*PO!$X$3))</f>
        <v>2</v>
      </c>
      <c r="F80" s="361">
        <f ca="1">OFFSET(PO!$P$12,ROW($E80)-ROW(F$12),0)</f>
        <v>2</v>
      </c>
      <c r="G80" s="361"/>
      <c r="H80" s="361"/>
      <c r="I80" s="361"/>
      <c r="J80" s="361"/>
      <c r="K80" s="361"/>
      <c r="L80" s="361"/>
      <c r="M80" s="361"/>
      <c r="N80" s="361"/>
      <c r="O80" s="361"/>
      <c r="U80" s="182"/>
    </row>
    <row r="81" spans="1:21" s="1" customFormat="1" ht="38.25" x14ac:dyDescent="0.2">
      <c r="A81" s="110" t="str">
        <f ca="1">OFFSET(PO!J$12,ROW(A81)-ROW($A$12),0)</f>
        <v>Serviço</v>
      </c>
      <c r="B81" s="112" t="str">
        <f ca="1">IF($A81=0,"",OFFSET(PO!K$12,ROW(B81)-ROW(B$12),0))</f>
        <v>1.4.4.0.3.</v>
      </c>
      <c r="C81" s="109" t="str">
        <f ca="1">IF(OFFSET(PO!N$12,ROW(C81)-ROW(C$12),0)=0,"",OFFSET(PO!N$12,ROW(C81)-ROW(C$12),0))</f>
        <v>CURVA 90 GRAUS, PVC, SOLDÁVEL, DN 32 MM, INSTALADO EM RESERVAÇÃO PREDIAL DE ÁGUA - FORNECIMENTO E INSTALAÇÃO. AF_04/2024</v>
      </c>
      <c r="D81" s="111" t="str">
        <f ca="1">IF(OFFSET(PO!O$12,ROW(D81)-ROW(D$12),0)=0,"",OFFSET(PO!O$12,ROW(D81)-ROW(D$12),0))</f>
        <v>UN</v>
      </c>
      <c r="E81" s="140">
        <f ca="1">IF($A81&lt;&gt;"Serviço",0,ROUND(SUMIF($F$9:$P$9,"&lt;&gt;",$F81:$P81),15-13*PO!$X$3))</f>
        <v>4</v>
      </c>
      <c r="F81" s="361">
        <f ca="1">OFFSET(PO!$P$12,ROW($E81)-ROW(F$12),0)</f>
        <v>4</v>
      </c>
      <c r="G81" s="361"/>
      <c r="H81" s="361"/>
      <c r="I81" s="361"/>
      <c r="J81" s="361"/>
      <c r="K81" s="361"/>
      <c r="L81" s="361"/>
      <c r="M81" s="361"/>
      <c r="N81" s="361"/>
      <c r="O81" s="361"/>
      <c r="U81" s="182"/>
    </row>
    <row r="82" spans="1:21" s="1" customFormat="1" ht="38.25" x14ac:dyDescent="0.2">
      <c r="A82" s="110" t="str">
        <f ca="1">OFFSET(PO!J$12,ROW(A82)-ROW($A$12),0)</f>
        <v>Serviço</v>
      </c>
      <c r="B82" s="112" t="str">
        <f ca="1">IF($A82=0,"",OFFSET(PO!K$12,ROW(B82)-ROW(B$12),0))</f>
        <v>1.4.4.0.4.</v>
      </c>
      <c r="C82" s="109" t="str">
        <f ca="1">IF(OFFSET(PO!N$12,ROW(C82)-ROW(C$12),0)=0,"",OFFSET(PO!N$12,ROW(C82)-ROW(C$12),0))</f>
        <v>TÊ, PVC, SOLDÁVEL, DN 32 MM INSTALADO EM RESERVAÇÃO PREDIAL DE ÁGUA - FORNECIMENTO E INSTALAÇÃO. AF_04/2024</v>
      </c>
      <c r="D82" s="111" t="str">
        <f ca="1">IF(OFFSET(PO!O$12,ROW(D82)-ROW(D$12),0)=0,"",OFFSET(PO!O$12,ROW(D82)-ROW(D$12),0))</f>
        <v>UN</v>
      </c>
      <c r="E82" s="140">
        <f ca="1">IF($A82&lt;&gt;"Serviço",0,ROUND(SUMIF($F$9:$P$9,"&lt;&gt;",$F82:$P82),15-13*PO!$X$3))</f>
        <v>2</v>
      </c>
      <c r="F82" s="361">
        <f ca="1">OFFSET(PO!$P$12,ROW($E82)-ROW(F$12),0)</f>
        <v>2</v>
      </c>
      <c r="G82" s="361"/>
      <c r="H82" s="361"/>
      <c r="I82" s="361"/>
      <c r="J82" s="361"/>
      <c r="K82" s="361"/>
      <c r="L82" s="361"/>
      <c r="M82" s="361"/>
      <c r="N82" s="361"/>
      <c r="O82" s="361"/>
      <c r="U82" s="182"/>
    </row>
    <row r="83" spans="1:21" s="1" customFormat="1" ht="38.25" x14ac:dyDescent="0.2">
      <c r="A83" s="110" t="str">
        <f ca="1">OFFSET(PO!J$12,ROW(A83)-ROW($A$12),0)</f>
        <v>Serviço</v>
      </c>
      <c r="B83" s="112" t="str">
        <f ca="1">IF($A83=0,"",OFFSET(PO!K$12,ROW(B83)-ROW(B$12),0))</f>
        <v>1.4.4.0.5.</v>
      </c>
      <c r="C83" s="109" t="str">
        <f ca="1">IF(OFFSET(PO!N$12,ROW(C83)-ROW(C$12),0)=0,"",OFFSET(PO!N$12,ROW(C83)-ROW(C$12),0))</f>
        <v>TUBO, PVC, SOLDÁVEL, DE 32MM, INSTALADO EM RESERVAÇÃO PREDIAL DE ÁGUA - FORNECIMENTO E INSTALAÇÃO. AF_04/2024</v>
      </c>
      <c r="D83" s="111" t="str">
        <f ca="1">IF(OFFSET(PO!O$12,ROW(D83)-ROW(D$12),0)=0,"",OFFSET(PO!O$12,ROW(D83)-ROW(D$12),0))</f>
        <v>M</v>
      </c>
      <c r="E83" s="140">
        <f ca="1">IF($A83&lt;&gt;"Serviço",0,ROUND(SUMIF($F$9:$P$9,"&lt;&gt;",$F83:$P83),15-13*PO!$X$3))</f>
        <v>6</v>
      </c>
      <c r="F83" s="361">
        <f ca="1">OFFSET(PO!$P$12,ROW($E83)-ROW(F$12),0)</f>
        <v>6</v>
      </c>
      <c r="G83" s="361"/>
      <c r="H83" s="361"/>
      <c r="I83" s="361"/>
      <c r="J83" s="361"/>
      <c r="K83" s="361"/>
      <c r="L83" s="361"/>
      <c r="M83" s="361"/>
      <c r="N83" s="361"/>
      <c r="O83" s="361"/>
      <c r="U83" s="182"/>
    </row>
    <row r="84" spans="1:21" s="1" customFormat="1" x14ac:dyDescent="0.2">
      <c r="A84" s="110" t="str">
        <f ca="1">OFFSET(PO!J$12,ROW(A84)-ROW($A$12),0)</f>
        <v>Nível 3</v>
      </c>
      <c r="B84" s="112" t="str">
        <f ca="1">IF($A84=0,"",OFFSET(PO!K$12,ROW(B84)-ROW(B$12),0))</f>
        <v>1.4.5.</v>
      </c>
      <c r="C84" s="109" t="str">
        <f ca="1">IF(OFFSET(PO!N$12,ROW(C84)-ROW(C$12),0)=0,"",OFFSET(PO!N$12,ROW(C84)-ROW(C$12),0))</f>
        <v>Coluna de ventilação existente</v>
      </c>
      <c r="D84" s="111" t="str">
        <f ca="1">IF(OFFSET(PO!O$12,ROW(D84)-ROW(D$12),0)=0,"",OFFSET(PO!O$12,ROW(D84)-ROW(D$12),0))</f>
        <v/>
      </c>
      <c r="E84" s="140">
        <f ca="1">IF($A84&lt;&gt;"Serviço",0,ROUND(SUMIF($F$9:$P$9,"&lt;&gt;",$F84:$P84),15-13*PO!$X$3))</f>
        <v>0</v>
      </c>
      <c r="F84" s="361">
        <f ca="1">OFFSET(PO!$P$12,ROW($E84)-ROW(F$12),0)</f>
        <v>0</v>
      </c>
      <c r="G84" s="361"/>
      <c r="H84" s="361"/>
      <c r="I84" s="361"/>
      <c r="J84" s="361"/>
      <c r="K84" s="361"/>
      <c r="L84" s="361"/>
      <c r="M84" s="361"/>
      <c r="N84" s="361"/>
      <c r="O84" s="361"/>
      <c r="U84" s="182"/>
    </row>
    <row r="85" spans="1:21" s="1" customFormat="1" ht="51" x14ac:dyDescent="0.2">
      <c r="A85" s="110" t="str">
        <f ca="1">OFFSET(PO!J$12,ROW(A85)-ROW($A$12),0)</f>
        <v>Serviço</v>
      </c>
      <c r="B85" s="112" t="str">
        <f ca="1">IF($A85=0,"",OFFSET(PO!K$12,ROW(B85)-ROW(B$12),0))</f>
        <v>1.4.5.0.1.</v>
      </c>
      <c r="C85" s="109" t="str">
        <f ca="1">IF(OFFSET(PO!N$12,ROW(C85)-ROW(C$12),0)=0,"",OFFSET(PO!N$12,ROW(C85)-ROW(C$12),0))</f>
        <v>TERMINAL DE VENTILAÇÃO, PVC, SÉRIE NORMAL, ESGOTO PREDIAL, DN 50 MM, JUNTA SOLDÁVEL, FORNECIDO E INSTALADO EM PRUMADA DE ESGOTO SANITÁRIO OU VENTILAÇÃO. AF_08/2022</v>
      </c>
      <c r="D85" s="111" t="str">
        <f ca="1">IF(OFFSET(PO!O$12,ROW(D85)-ROW(D$12),0)=0,"",OFFSET(PO!O$12,ROW(D85)-ROW(D$12),0))</f>
        <v>UN</v>
      </c>
      <c r="E85" s="140">
        <f ca="1">IF($A85&lt;&gt;"Serviço",0,ROUND(SUMIF($F$9:$P$9,"&lt;&gt;",$F85:$P85),15-13*PO!$X$3))</f>
        <v>1</v>
      </c>
      <c r="F85" s="361">
        <f ca="1">OFFSET(PO!$P$12,ROW($E85)-ROW(F$12),0)</f>
        <v>1</v>
      </c>
      <c r="G85" s="361"/>
      <c r="H85" s="361"/>
      <c r="I85" s="361"/>
      <c r="J85" s="361"/>
      <c r="K85" s="361"/>
      <c r="L85" s="361"/>
      <c r="M85" s="361"/>
      <c r="N85" s="361"/>
      <c r="O85" s="361"/>
      <c r="U85" s="182"/>
    </row>
    <row r="86" spans="1:21" s="1" customFormat="1" x14ac:dyDescent="0.2">
      <c r="A86" s="110" t="str">
        <f ca="1">OFFSET(PO!J$12,ROW(A86)-ROW($A$12),0)</f>
        <v>Nível 2</v>
      </c>
      <c r="B86" s="112" t="str">
        <f ca="1">IF($A86=0,"",OFFSET(PO!K$12,ROW(B86)-ROW(B$12),0))</f>
        <v>1.5.</v>
      </c>
      <c r="C86" s="109" t="str">
        <f ca="1">IF(OFFSET(PO!N$12,ROW(C86)-ROW(C$12),0)=0,"",OFFSET(PO!N$12,ROW(C86)-ROW(C$12),0))</f>
        <v>COBERTURAS</v>
      </c>
      <c r="D86" s="111" t="str">
        <f ca="1">IF(OFFSET(PO!O$12,ROW(D86)-ROW(D$12),0)=0,"",OFFSET(PO!O$12,ROW(D86)-ROW(D$12),0))</f>
        <v/>
      </c>
      <c r="E86" s="140">
        <f ca="1">IF($A86&lt;&gt;"Serviço",0,ROUND(SUMIF($F$9:$P$9,"&lt;&gt;",$F86:$P86),15-13*PO!$X$3))</f>
        <v>0</v>
      </c>
      <c r="F86" s="361">
        <f ca="1">OFFSET(PO!$P$12,ROW($E86)-ROW(F$12),0)</f>
        <v>0</v>
      </c>
      <c r="G86" s="361"/>
      <c r="H86" s="361"/>
      <c r="I86" s="361"/>
      <c r="J86" s="361"/>
      <c r="K86" s="361"/>
      <c r="L86" s="361"/>
      <c r="M86" s="361"/>
      <c r="N86" s="361"/>
      <c r="O86" s="361"/>
      <c r="U86" s="182"/>
    </row>
    <row r="87" spans="1:21" s="1" customFormat="1" x14ac:dyDescent="0.2">
      <c r="A87" s="110" t="str">
        <f ca="1">OFFSET(PO!J$12,ROW(A87)-ROW($A$12),0)</f>
        <v>Nível 3</v>
      </c>
      <c r="B87" s="112" t="str">
        <f ca="1">IF($A87=0,"",OFFSET(PO!K$12,ROW(B87)-ROW(B$12),0))</f>
        <v>1.5.1.</v>
      </c>
      <c r="C87" s="109" t="str">
        <f ca="1">IF(OFFSET(PO!N$12,ROW(C87)-ROW(C$12),0)=0,"",OFFSET(PO!N$12,ROW(C87)-ROW(C$12),0))</f>
        <v>Estrutura de madeira para repor peças avariadas</v>
      </c>
      <c r="D87" s="111" t="str">
        <f ca="1">IF(OFFSET(PO!O$12,ROW(D87)-ROW(D$12),0)=0,"",OFFSET(PO!O$12,ROW(D87)-ROW(D$12),0))</f>
        <v/>
      </c>
      <c r="E87" s="140">
        <f ca="1">IF($A87&lt;&gt;"Serviço",0,ROUND(SUMIF($F$9:$P$9,"&lt;&gt;",$F87:$P87),15-13*PO!$X$3))</f>
        <v>0</v>
      </c>
      <c r="F87" s="361">
        <f ca="1">OFFSET(PO!$P$12,ROW($E87)-ROW(F$12),0)</f>
        <v>0</v>
      </c>
      <c r="G87" s="361"/>
      <c r="H87" s="361"/>
      <c r="I87" s="361"/>
      <c r="J87" s="361"/>
      <c r="K87" s="361"/>
      <c r="L87" s="361"/>
      <c r="M87" s="361"/>
      <c r="N87" s="361"/>
      <c r="O87" s="361"/>
      <c r="U87" s="182"/>
    </row>
    <row r="88" spans="1:21" s="1" customFormat="1" ht="51" x14ac:dyDescent="0.2">
      <c r="A88" s="110" t="str">
        <f ca="1">OFFSET(PO!J$12,ROW(A88)-ROW($A$12),0)</f>
        <v>Serviço</v>
      </c>
      <c r="B88" s="112" t="str">
        <f ca="1">IF($A88=0,"",OFFSET(PO!K$12,ROW(B88)-ROW(B$12),0))</f>
        <v>1.5.1.0.1.</v>
      </c>
      <c r="C88" s="109" t="str">
        <f ca="1">IF(OFFSET(PO!N$12,ROW(C88)-ROW(C$12),0)=0,"",OFFSET(PO!N$12,ROW(C88)-ROW(C$12),0))</f>
        <v>TRAMA DE MADEIRA COMPOSTA POR TERÇAS PARA TELHADOS DE ATÉ 2 ÁGUAS PARA TELHA ONDULADA DE FIBROCIMENTO, METÁLICA, PLÁSTICA OU TERMOACÚSTICA, INCLUSO TRANSPORTE VERTICAL. AF_07/2019</v>
      </c>
      <c r="D88" s="111" t="str">
        <f ca="1">IF(OFFSET(PO!O$12,ROW(D88)-ROW(D$12),0)=0,"",OFFSET(PO!O$12,ROW(D88)-ROW(D$12),0))</f>
        <v>M2</v>
      </c>
      <c r="E88" s="140">
        <f ca="1">IF($A88&lt;&gt;"Serviço",0,ROUND(SUMIF($F$9:$P$9,"&lt;&gt;",$F88:$P88),15-13*PO!$X$3))</f>
        <v>189.41</v>
      </c>
      <c r="F88" s="361">
        <f ca="1">OFFSET(PO!$P$12,ROW($E88)-ROW(F$12),0)</f>
        <v>189.40799999999999</v>
      </c>
      <c r="G88" s="361"/>
      <c r="H88" s="361"/>
      <c r="I88" s="361"/>
      <c r="J88" s="361"/>
      <c r="K88" s="361"/>
      <c r="L88" s="361"/>
      <c r="M88" s="361"/>
      <c r="N88" s="361"/>
      <c r="O88" s="361"/>
      <c r="U88" s="182"/>
    </row>
    <row r="89" spans="1:21" s="1" customFormat="1" x14ac:dyDescent="0.2">
      <c r="A89" s="110" t="str">
        <f ca="1">OFFSET(PO!J$12,ROW(A89)-ROW($A$12),0)</f>
        <v>Nível 3</v>
      </c>
      <c r="B89" s="112" t="str">
        <f ca="1">IF($A89=0,"",OFFSET(PO!K$12,ROW(B89)-ROW(B$12),0))</f>
        <v>1.5.2.</v>
      </c>
      <c r="C89" s="109" t="str">
        <f ca="1">IF(OFFSET(PO!N$12,ROW(C89)-ROW(C$12),0)=0,"",OFFSET(PO!N$12,ROW(C89)-ROW(C$12),0))</f>
        <v>Telhamento</v>
      </c>
      <c r="D89" s="111" t="str">
        <f ca="1">IF(OFFSET(PO!O$12,ROW(D89)-ROW(D$12),0)=0,"",OFFSET(PO!O$12,ROW(D89)-ROW(D$12),0))</f>
        <v/>
      </c>
      <c r="E89" s="140">
        <f ca="1">IF($A89&lt;&gt;"Serviço",0,ROUND(SUMIF($F$9:$P$9,"&lt;&gt;",$F89:$P89),15-13*PO!$X$3))</f>
        <v>0</v>
      </c>
      <c r="F89" s="361">
        <f ca="1">OFFSET(PO!$P$12,ROW($E89)-ROW(F$12),0)</f>
        <v>0</v>
      </c>
      <c r="G89" s="361"/>
      <c r="H89" s="361"/>
      <c r="I89" s="361"/>
      <c r="J89" s="361"/>
      <c r="K89" s="361"/>
      <c r="L89" s="361"/>
      <c r="M89" s="361"/>
      <c r="N89" s="361"/>
      <c r="O89" s="361"/>
      <c r="U89" s="182"/>
    </row>
    <row r="90" spans="1:21" s="1" customFormat="1" ht="25.5" x14ac:dyDescent="0.2">
      <c r="A90" s="110" t="str">
        <f ca="1">OFFSET(PO!J$12,ROW(A90)-ROW($A$12),0)</f>
        <v>Serviço</v>
      </c>
      <c r="B90" s="112" t="str">
        <f ca="1">IF($A90=0,"",OFFSET(PO!K$12,ROW(B90)-ROW(B$12),0))</f>
        <v>1.5.2.0.1.</v>
      </c>
      <c r="C90" s="109" t="str">
        <f ca="1">IF(OFFSET(PO!N$12,ROW(C90)-ROW(C$12),0)=0,"",OFFSET(PO!N$12,ROW(C90)-ROW(C$12),0))</f>
        <v>TELHAMENTO COM TELHA DE AÇO/ALUMÍNIO E = 0,5 MM, COM ATÉ 2 ÁGUAS, INCLUSO IÇAMENTO. AF_07/2019</v>
      </c>
      <c r="D90" s="111" t="str">
        <f ca="1">IF(OFFSET(PO!O$12,ROW(D90)-ROW(D$12),0)=0,"",OFFSET(PO!O$12,ROW(D90)-ROW(D$12),0))</f>
        <v>M2</v>
      </c>
      <c r="E90" s="140">
        <f ca="1">IF($A90&lt;&gt;"Serviço",0,ROUND(SUMIF($F$9:$P$9,"&lt;&gt;",$F90:$P90),15-13*PO!$X$3))</f>
        <v>934.18</v>
      </c>
      <c r="F90" s="361">
        <f ca="1">OFFSET(PO!$P$12,ROW($E90)-ROW(F$12),0)</f>
        <v>934.18000000000006</v>
      </c>
      <c r="G90" s="361"/>
      <c r="H90" s="361"/>
      <c r="I90" s="361"/>
      <c r="J90" s="361"/>
      <c r="K90" s="361"/>
      <c r="L90" s="361"/>
      <c r="M90" s="361"/>
      <c r="N90" s="361"/>
      <c r="O90" s="361"/>
      <c r="U90" s="182"/>
    </row>
    <row r="91" spans="1:21" s="1" customFormat="1" ht="25.5" x14ac:dyDescent="0.2">
      <c r="A91" s="110" t="str">
        <f ca="1">OFFSET(PO!J$12,ROW(A91)-ROW($A$12),0)</f>
        <v>Serviço</v>
      </c>
      <c r="B91" s="112" t="str">
        <f ca="1">IF($A91=0,"",OFFSET(PO!K$12,ROW(B91)-ROW(B$12),0))</f>
        <v>1.5.2.0.2.</v>
      </c>
      <c r="C91" s="109" t="str">
        <f ca="1">IF(OFFSET(PO!N$12,ROW(C91)-ROW(C$12),0)=0,"",OFFSET(PO!N$12,ROW(C91)-ROW(C$12),0))</f>
        <v>TELHAMENTO COM TELHA METÁLICA TERMOACÚSTICA E = 30 MM, COM ATÉ 2 ÁGUAS, INCLUSO IÇAMENTO. AF_07/2019</v>
      </c>
      <c r="D91" s="111" t="str">
        <f ca="1">IF(OFFSET(PO!O$12,ROW(D91)-ROW(D$12),0)=0,"",OFFSET(PO!O$12,ROW(D91)-ROW(D$12),0))</f>
        <v>M2</v>
      </c>
      <c r="E91" s="140">
        <f ca="1">IF($A91&lt;&gt;"Serviço",0,ROUND(SUMIF($F$9:$P$9,"&lt;&gt;",$F91:$P91),15-13*PO!$X$3))</f>
        <v>328.54</v>
      </c>
      <c r="F91" s="361">
        <f ca="1">OFFSET(PO!$P$12,ROW($E91)-ROW(F$12),0)</f>
        <v>328.54</v>
      </c>
      <c r="G91" s="361"/>
      <c r="H91" s="361"/>
      <c r="I91" s="361"/>
      <c r="J91" s="361"/>
      <c r="K91" s="361"/>
      <c r="L91" s="361"/>
      <c r="M91" s="361"/>
      <c r="N91" s="361"/>
      <c r="O91" s="361"/>
      <c r="U91" s="182"/>
    </row>
    <row r="92" spans="1:21" s="1" customFormat="1" ht="38.25" x14ac:dyDescent="0.2">
      <c r="A92" s="110" t="str">
        <f ca="1">OFFSET(PO!J$12,ROW(A92)-ROW($A$12),0)</f>
        <v>Serviço</v>
      </c>
      <c r="B92" s="112" t="str">
        <f ca="1">IF($A92=0,"",OFFSET(PO!K$12,ROW(B92)-ROW(B$12),0))</f>
        <v>1.5.2.0.3.</v>
      </c>
      <c r="C92" s="109" t="str">
        <f ca="1">IF(OFFSET(PO!N$12,ROW(C92)-ROW(C$12),0)=0,"",OFFSET(PO!N$12,ROW(C92)-ROW(C$12),0))</f>
        <v>TRANSPORTE HORIZONTAL MANUAL, DE TELHA TERMOACÚSTICA OU TELHA DE AÇO ZINCADO (UNIDADE: M2XKM). AF_07/2019</v>
      </c>
      <c r="D92" s="111" t="str">
        <f ca="1">IF(OFFSET(PO!O$12,ROW(D92)-ROW(D$12),0)=0,"",OFFSET(PO!O$12,ROW(D92)-ROW(D$12),0))</f>
        <v>M2XKM</v>
      </c>
      <c r="E92" s="140">
        <f ca="1">IF($A92&lt;&gt;"Serviço",0,ROUND(SUMIF($F$9:$P$9,"&lt;&gt;",$F92:$P92),15-13*PO!$X$3))</f>
        <v>252.54</v>
      </c>
      <c r="F92" s="361">
        <f ca="1">OFFSET(PO!$P$12,ROW($E92)-ROW(F$12),0)</f>
        <v>252.54400000000001</v>
      </c>
      <c r="G92" s="361"/>
      <c r="H92" s="361"/>
      <c r="I92" s="361"/>
      <c r="J92" s="361"/>
      <c r="K92" s="361"/>
      <c r="L92" s="361"/>
      <c r="M92" s="361"/>
      <c r="N92" s="361"/>
      <c r="O92" s="361"/>
      <c r="U92" s="182"/>
    </row>
    <row r="93" spans="1:21" s="1" customFormat="1" ht="25.5" x14ac:dyDescent="0.2">
      <c r="A93" s="110" t="str">
        <f ca="1">OFFSET(PO!J$12,ROW(A93)-ROW($A$12),0)</f>
        <v>Serviço</v>
      </c>
      <c r="B93" s="112" t="str">
        <f ca="1">IF($A93=0,"",OFFSET(PO!K$12,ROW(B93)-ROW(B$12),0))</f>
        <v>1.5.2.0.4.</v>
      </c>
      <c r="C93" s="109" t="str">
        <f ca="1">IF(OFFSET(PO!N$12,ROW(C93)-ROW(C$12),0)=0,"",OFFSET(PO!N$12,ROW(C93)-ROW(C$12),0))</f>
        <v>CUMEEIRA PARA TELHAS TRAPEZOIDAIS DE AÇO, INCLUSO ACESSÓRIOS DE FIXAÇÃO, IÇAMENTO E INSTALAÇÃO</v>
      </c>
      <c r="D93" s="111" t="str">
        <f ca="1">IF(OFFSET(PO!O$12,ROW(D93)-ROW(D$12),0)=0,"",OFFSET(PO!O$12,ROW(D93)-ROW(D$12),0))</f>
        <v>M</v>
      </c>
      <c r="E93" s="140">
        <f ca="1">IF($A93&lt;&gt;"Serviço",0,ROUND(SUMIF($F$9:$P$9,"&lt;&gt;",$F93:$P93),15-13*PO!$X$3))</f>
        <v>155.63</v>
      </c>
      <c r="F93" s="361">
        <f ca="1">OFFSET(PO!$P$12,ROW($E93)-ROW(F$12),0)</f>
        <v>155.63</v>
      </c>
      <c r="G93" s="361"/>
      <c r="H93" s="361"/>
      <c r="I93" s="361"/>
      <c r="J93" s="361"/>
      <c r="K93" s="361"/>
      <c r="L93" s="361"/>
      <c r="M93" s="361"/>
      <c r="N93" s="361"/>
      <c r="O93" s="361"/>
      <c r="U93" s="182"/>
    </row>
    <row r="94" spans="1:21" s="1" customFormat="1" x14ac:dyDescent="0.2">
      <c r="A94" s="110" t="str">
        <f ca="1">OFFSET(PO!J$12,ROW(A94)-ROW($A$12),0)</f>
        <v>Nível 2</v>
      </c>
      <c r="B94" s="112" t="str">
        <f ca="1">IF($A94=0,"",OFFSET(PO!K$12,ROW(B94)-ROW(B$12),0))</f>
        <v>1.6.</v>
      </c>
      <c r="C94" s="109" t="str">
        <f ca="1">IF(OFFSET(PO!N$12,ROW(C94)-ROW(C$12),0)=0,"",OFFSET(PO!N$12,ROW(C94)-ROW(C$12),0))</f>
        <v>CALHAS, FUNILARIA E TUBOS DE QUEDA</v>
      </c>
      <c r="D94" s="111" t="str">
        <f ca="1">IF(OFFSET(PO!O$12,ROW(D94)-ROW(D$12),0)=0,"",OFFSET(PO!O$12,ROW(D94)-ROW(D$12),0))</f>
        <v/>
      </c>
      <c r="E94" s="140">
        <f ca="1">IF($A94&lt;&gt;"Serviço",0,ROUND(SUMIF($F$9:$P$9,"&lt;&gt;",$F94:$P94),15-13*PO!$X$3))</f>
        <v>0</v>
      </c>
      <c r="F94" s="361">
        <f ca="1">OFFSET(PO!$P$12,ROW($E94)-ROW(F$12),0)</f>
        <v>0</v>
      </c>
      <c r="G94" s="361"/>
      <c r="H94" s="361"/>
      <c r="I94" s="361"/>
      <c r="J94" s="361"/>
      <c r="K94" s="361"/>
      <c r="L94" s="361"/>
      <c r="M94" s="361"/>
      <c r="N94" s="361"/>
      <c r="O94" s="361"/>
      <c r="U94" s="182"/>
    </row>
    <row r="95" spans="1:21" s="1" customFormat="1" ht="38.25" x14ac:dyDescent="0.2">
      <c r="A95" s="110" t="str">
        <f ca="1">OFFSET(PO!J$12,ROW(A95)-ROW($A$12),0)</f>
        <v>Serviço</v>
      </c>
      <c r="B95" s="112" t="str">
        <f ca="1">IF($A95=0,"",OFFSET(PO!K$12,ROW(B95)-ROW(B$12),0))</f>
        <v>1.6.0.0.1.</v>
      </c>
      <c r="C95" s="109" t="str">
        <f ca="1">IF(OFFSET(PO!N$12,ROW(C95)-ROW(C$12),0)=0,"",OFFSET(PO!N$12,ROW(C95)-ROW(C$12),0))</f>
        <v>CALHA EM CHAPA DE AÇO GALVANIZADO NÚMERO 24, DESENVOLVIMENTO DE 50 CM, INCLUSO TRANSPORTE VERTICAL. AF_07/2019</v>
      </c>
      <c r="D95" s="111" t="str">
        <f ca="1">IF(OFFSET(PO!O$12,ROW(D95)-ROW(D$12),0)=0,"",OFFSET(PO!O$12,ROW(D95)-ROW(D$12),0))</f>
        <v>M</v>
      </c>
      <c r="E95" s="140">
        <f ca="1">IF($A95&lt;&gt;"Serviço",0,ROUND(SUMIF($F$9:$P$9,"&lt;&gt;",$F95:$P95),15-13*PO!$X$3))</f>
        <v>27.45</v>
      </c>
      <c r="F95" s="361">
        <f ca="1">OFFSET(PO!$P$12,ROW($E95)-ROW(F$12),0)</f>
        <v>27.45</v>
      </c>
      <c r="G95" s="361"/>
      <c r="H95" s="361"/>
      <c r="I95" s="361"/>
      <c r="J95" s="361"/>
      <c r="K95" s="361"/>
      <c r="L95" s="361"/>
      <c r="M95" s="361"/>
      <c r="N95" s="361"/>
      <c r="O95" s="361"/>
      <c r="U95" s="182"/>
    </row>
    <row r="96" spans="1:21" s="1" customFormat="1" ht="38.25" x14ac:dyDescent="0.2">
      <c r="A96" s="110" t="str">
        <f ca="1">OFFSET(PO!J$12,ROW(A96)-ROW($A$12),0)</f>
        <v>Serviço</v>
      </c>
      <c r="B96" s="112" t="str">
        <f ca="1">IF($A96=0,"",OFFSET(PO!K$12,ROW(B96)-ROW(B$12),0))</f>
        <v>1.6.0.0.2.</v>
      </c>
      <c r="C96" s="109" t="str">
        <f ca="1">IF(OFFSET(PO!N$12,ROW(C96)-ROW(C$12),0)=0,"",OFFSET(PO!N$12,ROW(C96)-ROW(C$12),0))</f>
        <v>CALHA EM CHAPA DE AÇO GALVANIZADO NÚMERO 24, DESENVOLVIMENTO DE 40CM, INCLUSO TRANSPORTE VERTICAL</v>
      </c>
      <c r="D96" s="111" t="str">
        <f ca="1">IF(OFFSET(PO!O$12,ROW(D96)-ROW(D$12),0)=0,"",OFFSET(PO!O$12,ROW(D96)-ROW(D$12),0))</f>
        <v>M</v>
      </c>
      <c r="E96" s="140">
        <f ca="1">IF($A96&lt;&gt;"Serviço",0,ROUND(SUMIF($F$9:$P$9,"&lt;&gt;",$F96:$P96),15-13*PO!$X$3))</f>
        <v>140.29</v>
      </c>
      <c r="F96" s="361">
        <f ca="1">OFFSET(PO!$P$12,ROW($E96)-ROW(F$12),0)</f>
        <v>140.29</v>
      </c>
      <c r="G96" s="361"/>
      <c r="H96" s="361"/>
      <c r="I96" s="361"/>
      <c r="J96" s="361"/>
      <c r="K96" s="361"/>
      <c r="L96" s="361"/>
      <c r="M96" s="361"/>
      <c r="N96" s="361"/>
      <c r="O96" s="361"/>
      <c r="U96" s="182"/>
    </row>
    <row r="97" spans="1:21" s="1" customFormat="1" ht="25.5" x14ac:dyDescent="0.2">
      <c r="A97" s="110" t="str">
        <f ca="1">OFFSET(PO!J$12,ROW(A97)-ROW($A$12),0)</f>
        <v>Serviço</v>
      </c>
      <c r="B97" s="112" t="str">
        <f ca="1">IF($A97=0,"",OFFSET(PO!K$12,ROW(B97)-ROW(B$12),0))</f>
        <v>1.6.0.0.3.</v>
      </c>
      <c r="C97" s="109" t="str">
        <f ca="1">IF(OFFSET(PO!N$12,ROW(C97)-ROW(C$12),0)=0,"",OFFSET(PO!N$12,ROW(C97)-ROW(C$12),0))</f>
        <v>REINSTALAÇÃO DE CALHA EM CHAPA DE AÇO GALVANIZADO, COMPLETA, INCLUSO TRANSPORTE VERTICAL</v>
      </c>
      <c r="D97" s="111" t="str">
        <f ca="1">IF(OFFSET(PO!O$12,ROW(D97)-ROW(D$12),0)=0,"",OFFSET(PO!O$12,ROW(D97)-ROW(D$12),0))</f>
        <v>M</v>
      </c>
      <c r="E97" s="140">
        <f ca="1">IF($A97&lt;&gt;"Serviço",0,ROUND(SUMIF($F$9:$P$9,"&lt;&gt;",$F97:$P97),15-13*PO!$X$3))</f>
        <v>18.239999999999998</v>
      </c>
      <c r="F97" s="361">
        <f ca="1">OFFSET(PO!$P$12,ROW($E97)-ROW(F$12),0)</f>
        <v>18.239999999999998</v>
      </c>
      <c r="G97" s="361"/>
      <c r="H97" s="361"/>
      <c r="I97" s="361"/>
      <c r="J97" s="361"/>
      <c r="K97" s="361"/>
      <c r="L97" s="361"/>
      <c r="M97" s="361"/>
      <c r="N97" s="361"/>
      <c r="O97" s="361"/>
      <c r="U97" s="182"/>
    </row>
    <row r="98" spans="1:21" s="1" customFormat="1" ht="38.25" x14ac:dyDescent="0.2">
      <c r="A98" s="110" t="str">
        <f ca="1">OFFSET(PO!J$12,ROW(A98)-ROW($A$12),0)</f>
        <v>Serviço</v>
      </c>
      <c r="B98" s="112" t="str">
        <f ca="1">IF($A98=0,"",OFFSET(PO!K$12,ROW(B98)-ROW(B$12),0))</f>
        <v>1.6.0.0.4.</v>
      </c>
      <c r="C98" s="109" t="str">
        <f ca="1">IF(OFFSET(PO!N$12,ROW(C98)-ROW(C$12),0)=0,"",OFFSET(PO!N$12,ROW(C98)-ROW(C$12),0))</f>
        <v>ÁGUA FURTADA CALHA EM CHAPA DE AÇO GALVANIZADO NÚMERO 26, DESENVOLVIMENTO DE 40CM, INCLUSO TRANSPORTE VERTICAL</v>
      </c>
      <c r="D98" s="111" t="str">
        <f ca="1">IF(OFFSET(PO!O$12,ROW(D98)-ROW(D$12),0)=0,"",OFFSET(PO!O$12,ROW(D98)-ROW(D$12),0))</f>
        <v>M</v>
      </c>
      <c r="E98" s="140">
        <f ca="1">IF($A98&lt;&gt;"Serviço",0,ROUND(SUMIF($F$9:$P$9,"&lt;&gt;",$F98:$P98),15-13*PO!$X$3))</f>
        <v>43.59</v>
      </c>
      <c r="F98" s="361">
        <f ca="1">OFFSET(PO!$P$12,ROW($E98)-ROW(F$12),0)</f>
        <v>43.59</v>
      </c>
      <c r="G98" s="361"/>
      <c r="H98" s="361"/>
      <c r="I98" s="361"/>
      <c r="J98" s="361"/>
      <c r="K98" s="361"/>
      <c r="L98" s="361"/>
      <c r="M98" s="361"/>
      <c r="N98" s="361"/>
      <c r="O98" s="361"/>
      <c r="U98" s="182"/>
    </row>
    <row r="99" spans="1:21" s="1" customFormat="1" ht="38.25" x14ac:dyDescent="0.2">
      <c r="A99" s="110" t="str">
        <f ca="1">OFFSET(PO!J$12,ROW(A99)-ROW($A$12),0)</f>
        <v>Serviço</v>
      </c>
      <c r="B99" s="112" t="str">
        <f ca="1">IF($A99=0,"",OFFSET(PO!K$12,ROW(B99)-ROW(B$12),0))</f>
        <v>1.6.0.0.5.</v>
      </c>
      <c r="C99" s="109" t="str">
        <f ca="1">IF(OFFSET(PO!N$12,ROW(C99)-ROW(C$12),0)=0,"",OFFSET(PO!N$12,ROW(C99)-ROW(C$12),0))</f>
        <v>TUBO PVC, SÉRIE R, ÁGUA PLUVIAL, DN 100 MM, FORNECIDO E INSTALADO EM CONDUTORES VERTICAIS DE ÁGUAS PLUVIAIS. AF_06/2022</v>
      </c>
      <c r="D99" s="111" t="str">
        <f ca="1">IF(OFFSET(PO!O$12,ROW(D99)-ROW(D$12),0)=0,"",OFFSET(PO!O$12,ROW(D99)-ROW(D$12),0))</f>
        <v>M</v>
      </c>
      <c r="E99" s="140">
        <f ca="1">IF($A99&lt;&gt;"Serviço",0,ROUND(SUMIF($F$9:$P$9,"&lt;&gt;",$F99:$P99),15-13*PO!$X$3))</f>
        <v>105</v>
      </c>
      <c r="F99" s="361">
        <f ca="1">OFFSET(PO!$P$12,ROW($E99)-ROW(F$12),0)</f>
        <v>105</v>
      </c>
      <c r="G99" s="361"/>
      <c r="H99" s="361"/>
      <c r="I99" s="361"/>
      <c r="J99" s="361"/>
      <c r="K99" s="361"/>
      <c r="L99" s="361"/>
      <c r="M99" s="361"/>
      <c r="N99" s="361"/>
      <c r="O99" s="361"/>
      <c r="U99" s="182"/>
    </row>
    <row r="100" spans="1:21" s="1" customFormat="1" x14ac:dyDescent="0.2">
      <c r="A100" s="110" t="str">
        <f ca="1">OFFSET(PO!J$12,ROW(A100)-ROW($A$12),0)</f>
        <v>Nível 2</v>
      </c>
      <c r="B100" s="112" t="str">
        <f ca="1">IF($A100=0,"",OFFSET(PO!K$12,ROW(B100)-ROW(B$12),0))</f>
        <v>1.7.</v>
      </c>
      <c r="C100" s="109" t="str">
        <f ca="1">IF(OFFSET(PO!N$12,ROW(C100)-ROW(C$12),0)=0,"",OFFSET(PO!N$12,ROW(C100)-ROW(C$12),0))</f>
        <v>FORROS</v>
      </c>
      <c r="D100" s="111" t="str">
        <f ca="1">IF(OFFSET(PO!O$12,ROW(D100)-ROW(D$12),0)=0,"",OFFSET(PO!O$12,ROW(D100)-ROW(D$12),0))</f>
        <v/>
      </c>
      <c r="E100" s="140">
        <f ca="1">IF($A100&lt;&gt;"Serviço",0,ROUND(SUMIF($F$9:$P$9,"&lt;&gt;",$F100:$P100),15-13*PO!$X$3))</f>
        <v>0</v>
      </c>
      <c r="F100" s="361">
        <f ca="1">OFFSET(PO!$P$12,ROW($E100)-ROW(F$12),0)</f>
        <v>0</v>
      </c>
      <c r="G100" s="361"/>
      <c r="H100" s="361"/>
      <c r="I100" s="361"/>
      <c r="J100" s="361"/>
      <c r="K100" s="361"/>
      <c r="L100" s="361"/>
      <c r="M100" s="361"/>
      <c r="N100" s="361"/>
      <c r="O100" s="361"/>
      <c r="U100" s="182"/>
    </row>
    <row r="101" spans="1:21" s="1" customFormat="1" x14ac:dyDescent="0.2">
      <c r="A101" s="110" t="str">
        <f ca="1">OFFSET(PO!J$12,ROW(A101)-ROW($A$12),0)</f>
        <v>Nível 3</v>
      </c>
      <c r="B101" s="112" t="str">
        <f ca="1">IF($A101=0,"",OFFSET(PO!K$12,ROW(B101)-ROW(B$12),0))</f>
        <v>1.7.1.</v>
      </c>
      <c r="C101" s="109" t="str">
        <f ca="1">IF(OFFSET(PO!N$12,ROW(C101)-ROW(C$12),0)=0,"",OFFSET(PO!N$12,ROW(C101)-ROW(C$12),0))</f>
        <v>Forros internos</v>
      </c>
      <c r="D101" s="111" t="str">
        <f ca="1">IF(OFFSET(PO!O$12,ROW(D101)-ROW(D$12),0)=0,"",OFFSET(PO!O$12,ROW(D101)-ROW(D$12),0))</f>
        <v/>
      </c>
      <c r="E101" s="140">
        <f ca="1">IF($A101&lt;&gt;"Serviço",0,ROUND(SUMIF($F$9:$P$9,"&lt;&gt;",$F101:$P101),15-13*PO!$X$3))</f>
        <v>0</v>
      </c>
      <c r="F101" s="361">
        <f ca="1">OFFSET(PO!$P$12,ROW($E101)-ROW(F$12),0)</f>
        <v>0</v>
      </c>
      <c r="G101" s="361"/>
      <c r="H101" s="361"/>
      <c r="I101" s="361"/>
      <c r="J101" s="361"/>
      <c r="K101" s="361"/>
      <c r="L101" s="361"/>
      <c r="M101" s="361"/>
      <c r="N101" s="361"/>
      <c r="O101" s="361"/>
      <c r="U101" s="182"/>
    </row>
    <row r="102" spans="1:21" s="1" customFormat="1" ht="38.25" x14ac:dyDescent="0.2">
      <c r="A102" s="110" t="str">
        <f ca="1">OFFSET(PO!J$12,ROW(A102)-ROW($A$12),0)</f>
        <v>Serviço</v>
      </c>
      <c r="B102" s="112" t="str">
        <f ca="1">IF($A102=0,"",OFFSET(PO!K$12,ROW(B102)-ROW(B$12),0))</f>
        <v>1.7.1.0.1.</v>
      </c>
      <c r="C102" s="109" t="str">
        <f ca="1">IF(OFFSET(PO!N$12,ROW(C102)-ROW(C$12),0)=0,"",OFFSET(PO!N$12,ROW(C102)-ROW(C$12),0))</f>
        <v>FORRO EM RÉGUAS DE PVC, FRISADO, PARA AMBIENTES RESIDENCIAIS, INCLUSIVE ESTRUTURA UNIDIRECIONAL DE FIXAÇÃO. AF_08/2023_PS</v>
      </c>
      <c r="D102" s="111" t="str">
        <f ca="1">IF(OFFSET(PO!O$12,ROW(D102)-ROW(D$12),0)=0,"",OFFSET(PO!O$12,ROW(D102)-ROW(D$12),0))</f>
        <v>M2</v>
      </c>
      <c r="E102" s="140">
        <f ca="1">IF($A102&lt;&gt;"Serviço",0,ROUND(SUMIF($F$9:$P$9,"&lt;&gt;",$F102:$P102),15-13*PO!$X$3))</f>
        <v>996.15</v>
      </c>
      <c r="F102" s="361">
        <f ca="1">OFFSET(PO!$P$12,ROW($E102)-ROW(F$12),0)</f>
        <v>996.15</v>
      </c>
      <c r="G102" s="361"/>
      <c r="H102" s="361"/>
      <c r="I102" s="361"/>
      <c r="J102" s="361"/>
      <c r="K102" s="361"/>
      <c r="L102" s="361"/>
      <c r="M102" s="361"/>
      <c r="N102" s="361"/>
      <c r="O102" s="361"/>
      <c r="U102" s="182"/>
    </row>
    <row r="103" spans="1:21" s="1" customFormat="1" ht="25.5" x14ac:dyDescent="0.2">
      <c r="A103" s="110" t="str">
        <f ca="1">OFFSET(PO!J$12,ROW(A103)-ROW($A$12),0)</f>
        <v>Serviço</v>
      </c>
      <c r="B103" s="112" t="str">
        <f ca="1">IF($A103=0,"",OFFSET(PO!K$12,ROW(B103)-ROW(B$12),0))</f>
        <v>1.7.1.0.2.</v>
      </c>
      <c r="C103" s="109" t="str">
        <f ca="1">IF(OFFSET(PO!N$12,ROW(C103)-ROW(C$12),0)=0,"",OFFSET(PO!N$12,ROW(C103)-ROW(C$12),0))</f>
        <v>ACABAMENTOS PARA FORRO (RODA-FORRO EM PERFIL METÁLICO E PLÁSTICO). AF_08/2023</v>
      </c>
      <c r="D103" s="111" t="str">
        <f ca="1">IF(OFFSET(PO!O$12,ROW(D103)-ROW(D$12),0)=0,"",OFFSET(PO!O$12,ROW(D103)-ROW(D$12),0))</f>
        <v>M</v>
      </c>
      <c r="E103" s="140">
        <f ca="1">IF($A103&lt;&gt;"Serviço",0,ROUND(SUMIF($F$9:$P$9,"&lt;&gt;",$F103:$P103),15-13*PO!$X$3))</f>
        <v>722.82</v>
      </c>
      <c r="F103" s="361">
        <f ca="1">OFFSET(PO!$P$12,ROW($E103)-ROW(F$12),0)</f>
        <v>722.82</v>
      </c>
      <c r="G103" s="361"/>
      <c r="H103" s="361"/>
      <c r="I103" s="361"/>
      <c r="J103" s="361"/>
      <c r="K103" s="361"/>
      <c r="L103" s="361"/>
      <c r="M103" s="361"/>
      <c r="N103" s="361"/>
      <c r="O103" s="361"/>
      <c r="U103" s="182"/>
    </row>
    <row r="104" spans="1:21" s="1" customFormat="1" x14ac:dyDescent="0.2">
      <c r="A104" s="110" t="str">
        <f ca="1">OFFSET(PO!J$12,ROW(A104)-ROW($A$12),0)</f>
        <v>Nível 3</v>
      </c>
      <c r="B104" s="112" t="str">
        <f ca="1">IF($A104=0,"",OFFSET(PO!K$12,ROW(B104)-ROW(B$12),0))</f>
        <v>1.7.2.</v>
      </c>
      <c r="C104" s="109" t="str">
        <f ca="1">IF(OFFSET(PO!N$12,ROW(C104)-ROW(C$12),0)=0,"",OFFSET(PO!N$12,ROW(C104)-ROW(C$12),0))</f>
        <v>Forros dos beirais</v>
      </c>
      <c r="D104" s="111" t="str">
        <f ca="1">IF(OFFSET(PO!O$12,ROW(D104)-ROW(D$12),0)=0,"",OFFSET(PO!O$12,ROW(D104)-ROW(D$12),0))</f>
        <v/>
      </c>
      <c r="E104" s="140">
        <f ca="1">IF($A104&lt;&gt;"Serviço",0,ROUND(SUMIF($F$9:$P$9,"&lt;&gt;",$F104:$P104),15-13*PO!$X$3))</f>
        <v>0</v>
      </c>
      <c r="F104" s="361">
        <f ca="1">OFFSET(PO!$P$12,ROW($E104)-ROW(F$12),0)</f>
        <v>0</v>
      </c>
      <c r="G104" s="361"/>
      <c r="H104" s="361"/>
      <c r="I104" s="361"/>
      <c r="J104" s="361"/>
      <c r="K104" s="361"/>
      <c r="L104" s="361"/>
      <c r="M104" s="361"/>
      <c r="N104" s="361"/>
      <c r="O104" s="361"/>
      <c r="U104" s="182"/>
    </row>
    <row r="105" spans="1:21" s="1" customFormat="1" ht="38.25" x14ac:dyDescent="0.2">
      <c r="A105" s="110" t="str">
        <f ca="1">OFFSET(PO!J$12,ROW(A105)-ROW($A$12),0)</f>
        <v>Serviço</v>
      </c>
      <c r="B105" s="112" t="str">
        <f ca="1">IF($A105=0,"",OFFSET(PO!K$12,ROW(B105)-ROW(B$12),0))</f>
        <v>1.7.2.0.1.</v>
      </c>
      <c r="C105" s="109" t="str">
        <f ca="1">IF(OFFSET(PO!N$12,ROW(C105)-ROW(C$12),0)=0,"",OFFSET(PO!N$12,ROW(C105)-ROW(C$12),0))</f>
        <v>FORRO EM RÉGUAS DE PVC, FRISADO, PARA AMBIENTES RESIDENCIAIS, INCLUSIVE ESTRUTURA UNIDIRECIONAL DE FIXAÇÃO. AF_08/2023_PS</v>
      </c>
      <c r="D105" s="111" t="str">
        <f ca="1">IF(OFFSET(PO!O$12,ROW(D105)-ROW(D$12),0)=0,"",OFFSET(PO!O$12,ROW(D105)-ROW(D$12),0))</f>
        <v>M2</v>
      </c>
      <c r="E105" s="140">
        <f ca="1">IF($A105&lt;&gt;"Serviço",0,ROUND(SUMIF($F$9:$P$9,"&lt;&gt;",$F105:$P105),15-13*PO!$X$3))</f>
        <v>156.30000000000001</v>
      </c>
      <c r="F105" s="361">
        <f ca="1">OFFSET(PO!$P$12,ROW($E105)-ROW(F$12),0)</f>
        <v>156.30000000000001</v>
      </c>
      <c r="G105" s="361"/>
      <c r="H105" s="361"/>
      <c r="I105" s="361"/>
      <c r="J105" s="361"/>
      <c r="K105" s="361"/>
      <c r="L105" s="361"/>
      <c r="M105" s="361"/>
      <c r="N105" s="361"/>
      <c r="O105" s="361"/>
      <c r="U105" s="182"/>
    </row>
    <row r="106" spans="1:21" s="1" customFormat="1" ht="25.5" x14ac:dyDescent="0.2">
      <c r="A106" s="110" t="str">
        <f ca="1">OFFSET(PO!J$12,ROW(A106)-ROW($A$12),0)</f>
        <v>Serviço</v>
      </c>
      <c r="B106" s="112" t="str">
        <f ca="1">IF($A106=0,"",OFFSET(PO!K$12,ROW(B106)-ROW(B$12),0))</f>
        <v>1.7.2.0.2.</v>
      </c>
      <c r="C106" s="109" t="str">
        <f ca="1">IF(OFFSET(PO!N$12,ROW(C106)-ROW(C$12),0)=0,"",OFFSET(PO!N$12,ROW(C106)-ROW(C$12),0))</f>
        <v>ACABAMENTOS PARA FORRO (RODA-FORRO EM PERFIL METÁLICO E PLÁSTICO). AF_08/2023</v>
      </c>
      <c r="D106" s="111" t="str">
        <f ca="1">IF(OFFSET(PO!O$12,ROW(D106)-ROW(D$12),0)=0,"",OFFSET(PO!O$12,ROW(D106)-ROW(D$12),0))</f>
        <v>M</v>
      </c>
      <c r="E106" s="140">
        <f ca="1">IF($A106&lt;&gt;"Serviço",0,ROUND(SUMIF($F$9:$P$9,"&lt;&gt;",$F106:$P106),15-13*PO!$X$3))</f>
        <v>216.96</v>
      </c>
      <c r="F106" s="361">
        <f ca="1">OFFSET(PO!$P$12,ROW($E106)-ROW(F$12),0)</f>
        <v>216.96</v>
      </c>
      <c r="G106" s="361"/>
      <c r="H106" s="361"/>
      <c r="I106" s="361"/>
      <c r="J106" s="361"/>
      <c r="K106" s="361"/>
      <c r="L106" s="361"/>
      <c r="M106" s="361"/>
      <c r="N106" s="361"/>
      <c r="O106" s="361"/>
      <c r="U106" s="182"/>
    </row>
    <row r="107" spans="1:21" s="1" customFormat="1" x14ac:dyDescent="0.2">
      <c r="A107" s="110" t="str">
        <f ca="1">OFFSET(PO!J$12,ROW(A107)-ROW($A$12),0)</f>
        <v>Nível 3</v>
      </c>
      <c r="B107" s="112" t="str">
        <f ca="1">IF($A107=0,"",OFFSET(PO!K$12,ROW(B107)-ROW(B$12),0))</f>
        <v>1.7.3.</v>
      </c>
      <c r="C107" s="109" t="str">
        <f ca="1">IF(OFFSET(PO!N$12,ROW(C107)-ROW(C$12),0)=0,"",OFFSET(PO!N$12,ROW(C107)-ROW(C$12),0))</f>
        <v>Espelhos dos beirais</v>
      </c>
      <c r="D107" s="111" t="str">
        <f ca="1">IF(OFFSET(PO!O$12,ROW(D107)-ROW(D$12),0)=0,"",OFFSET(PO!O$12,ROW(D107)-ROW(D$12),0))</f>
        <v/>
      </c>
      <c r="E107" s="140">
        <f ca="1">IF($A107&lt;&gt;"Serviço",0,ROUND(SUMIF($F$9:$P$9,"&lt;&gt;",$F107:$P107),15-13*PO!$X$3))</f>
        <v>0</v>
      </c>
      <c r="F107" s="361">
        <f ca="1">OFFSET(PO!$P$12,ROW($E107)-ROW(F$12),0)</f>
        <v>0</v>
      </c>
      <c r="G107" s="361"/>
      <c r="H107" s="361"/>
      <c r="I107" s="361"/>
      <c r="J107" s="361"/>
      <c r="K107" s="361"/>
      <c r="L107" s="361"/>
      <c r="M107" s="361"/>
      <c r="N107" s="361"/>
      <c r="O107" s="361"/>
      <c r="U107" s="182"/>
    </row>
    <row r="108" spans="1:21" s="1" customFormat="1" ht="25.5" x14ac:dyDescent="0.2">
      <c r="A108" s="110" t="str">
        <f ca="1">OFFSET(PO!J$12,ROW(A108)-ROW($A$12),0)</f>
        <v>Serviço</v>
      </c>
      <c r="B108" s="112" t="str">
        <f ca="1">IF($A108=0,"",OFFSET(PO!K$12,ROW(B108)-ROW(B$12),0))</f>
        <v>1.7.3.0.1.</v>
      </c>
      <c r="C108" s="109" t="str">
        <f ca="1">IF(OFFSET(PO!N$12,ROW(C108)-ROW(C$12),0)=0,"",OFFSET(PO!N$12,ROW(C108)-ROW(C$12),0))</f>
        <v>ESPELHO DE BEIRAL EM MADEIRA DE LEI APARELHADA, 15X2,5 CM,  FORNECIMENTO E INSTALAÇÃO</v>
      </c>
      <c r="D108" s="111" t="str">
        <f ca="1">IF(OFFSET(PO!O$12,ROW(D108)-ROW(D$12),0)=0,"",OFFSET(PO!O$12,ROW(D108)-ROW(D$12),0))</f>
        <v>M</v>
      </c>
      <c r="E108" s="140">
        <f ca="1">IF($A108&lt;&gt;"Serviço",0,ROUND(SUMIF($F$9:$P$9,"&lt;&gt;",$F108:$P108),15-13*PO!$X$3))</f>
        <v>228.47</v>
      </c>
      <c r="F108" s="361">
        <f ca="1">OFFSET(PO!$P$12,ROW($E108)-ROW(F$12),0)</f>
        <v>228.47</v>
      </c>
      <c r="G108" s="361"/>
      <c r="H108" s="361"/>
      <c r="I108" s="361"/>
      <c r="J108" s="361"/>
      <c r="K108" s="361"/>
      <c r="L108" s="361"/>
      <c r="M108" s="361"/>
      <c r="N108" s="361"/>
      <c r="O108" s="361"/>
      <c r="U108" s="182"/>
    </row>
    <row r="109" spans="1:21" s="1" customFormat="1" ht="25.5" x14ac:dyDescent="0.2">
      <c r="A109" s="110" t="str">
        <f ca="1">OFFSET(PO!J$12,ROW(A109)-ROW($A$12),0)</f>
        <v>Serviço</v>
      </c>
      <c r="B109" s="112" t="str">
        <f ca="1">IF($A109=0,"",OFFSET(PO!K$12,ROW(B109)-ROW(B$12),0))</f>
        <v>1.7.3.0.2.</v>
      </c>
      <c r="C109" s="109" t="str">
        <f ca="1">IF(OFFSET(PO!N$12,ROW(C109)-ROW(C$12),0)=0,"",OFFSET(PO!N$12,ROW(C109)-ROW(C$12),0))</f>
        <v>LIXAMENTO DE MADEIRA PARA APLICAÇÃO DE FUNDO OU PINTURA. AF_01/2021</v>
      </c>
      <c r="D109" s="111" t="str">
        <f ca="1">IF(OFFSET(PO!O$12,ROW(D109)-ROW(D$12),0)=0,"",OFFSET(PO!O$12,ROW(D109)-ROW(D$12),0))</f>
        <v>M2</v>
      </c>
      <c r="E109" s="140">
        <f ca="1">IF($A109&lt;&gt;"Serviço",0,ROUND(SUMIF($F$9:$P$9,"&lt;&gt;",$F109:$P109),15-13*PO!$X$3))</f>
        <v>44.55</v>
      </c>
      <c r="F109" s="361">
        <f ca="1">OFFSET(PO!$P$12,ROW($E109)-ROW(F$12),0)</f>
        <v>44.551649999999995</v>
      </c>
      <c r="G109" s="361"/>
      <c r="H109" s="361"/>
      <c r="I109" s="361"/>
      <c r="J109" s="361"/>
      <c r="K109" s="361"/>
      <c r="L109" s="361"/>
      <c r="M109" s="361"/>
      <c r="N109" s="361"/>
      <c r="O109" s="361"/>
      <c r="U109" s="182"/>
    </row>
    <row r="110" spans="1:21" s="1" customFormat="1" ht="25.5" x14ac:dyDescent="0.2">
      <c r="A110" s="110" t="str">
        <f ca="1">OFFSET(PO!J$12,ROW(A110)-ROW($A$12),0)</f>
        <v>Serviço</v>
      </c>
      <c r="B110" s="112" t="str">
        <f ca="1">IF($A110=0,"",OFFSET(PO!K$12,ROW(B110)-ROW(B$12),0))</f>
        <v>1.7.3.0.3.</v>
      </c>
      <c r="C110" s="109" t="str">
        <f ca="1">IF(OFFSET(PO!N$12,ROW(C110)-ROW(C$12),0)=0,"",OFFSET(PO!N$12,ROW(C110)-ROW(C$12),0))</f>
        <v>PINTURA FUNDO NIVELADOR ALQUÍDICO BRANCO EM MADEIRA. AF_01/2021</v>
      </c>
      <c r="D110" s="111" t="str">
        <f ca="1">IF(OFFSET(PO!O$12,ROW(D110)-ROW(D$12),0)=0,"",OFFSET(PO!O$12,ROW(D110)-ROW(D$12),0))</f>
        <v>M2</v>
      </c>
      <c r="E110" s="140">
        <f ca="1">IF($A110&lt;&gt;"Serviço",0,ROUND(SUMIF($F$9:$P$9,"&lt;&gt;",$F110:$P110),15-13*PO!$X$3))</f>
        <v>44.55</v>
      </c>
      <c r="F110" s="361">
        <f ca="1">OFFSET(PO!$P$12,ROW($E110)-ROW(F$12),0)</f>
        <v>44.551649999999995</v>
      </c>
      <c r="G110" s="361"/>
      <c r="H110" s="361"/>
      <c r="I110" s="361"/>
      <c r="J110" s="361"/>
      <c r="K110" s="361"/>
      <c r="L110" s="361"/>
      <c r="M110" s="361"/>
      <c r="N110" s="361"/>
      <c r="O110" s="361"/>
      <c r="U110" s="182"/>
    </row>
    <row r="111" spans="1:21" s="1" customFormat="1" ht="25.5" x14ac:dyDescent="0.2">
      <c r="A111" s="110" t="str">
        <f ca="1">OFFSET(PO!J$12,ROW(A111)-ROW($A$12),0)</f>
        <v>Serviço</v>
      </c>
      <c r="B111" s="112" t="str">
        <f ca="1">IF($A111=0,"",OFFSET(PO!K$12,ROW(B111)-ROW(B$12),0))</f>
        <v>1.7.3.0.4.</v>
      </c>
      <c r="C111" s="109" t="str">
        <f ca="1">IF(OFFSET(PO!N$12,ROW(C111)-ROW(C$12),0)=0,"",OFFSET(PO!N$12,ROW(C111)-ROW(C$12),0))</f>
        <v>PINTURA TINTA DE ACABAMENTO (PIGMENTADA) ESMALTE SINTÉTICO ACETINADO EM MADEIRA, 3 DEMÃOS. AF_01/2021</v>
      </c>
      <c r="D111" s="111" t="str">
        <f ca="1">IF(OFFSET(PO!O$12,ROW(D111)-ROW(D$12),0)=0,"",OFFSET(PO!O$12,ROW(D111)-ROW(D$12),0))</f>
        <v>M2</v>
      </c>
      <c r="E111" s="140">
        <f ca="1">IF($A111&lt;&gt;"Serviço",0,ROUND(SUMIF($F$9:$P$9,"&lt;&gt;",$F111:$P111),15-13*PO!$X$3))</f>
        <v>44.55</v>
      </c>
      <c r="F111" s="361">
        <f ca="1">OFFSET(PO!$P$12,ROW($E111)-ROW(F$12),0)</f>
        <v>44.551649999999995</v>
      </c>
      <c r="G111" s="361"/>
      <c r="H111" s="361"/>
      <c r="I111" s="361"/>
      <c r="J111" s="361"/>
      <c r="K111" s="361"/>
      <c r="L111" s="361"/>
      <c r="M111" s="361"/>
      <c r="N111" s="361"/>
      <c r="O111" s="361"/>
      <c r="U111" s="182"/>
    </row>
    <row r="112" spans="1:21" s="1" customFormat="1" x14ac:dyDescent="0.2">
      <c r="A112" s="110" t="str">
        <f ca="1">OFFSET(PO!J$12,ROW(A112)-ROW($A$12),0)</f>
        <v>Nível 2</v>
      </c>
      <c r="B112" s="112" t="str">
        <f ca="1">IF($A112=0,"",OFFSET(PO!K$12,ROW(B112)-ROW(B$12),0))</f>
        <v>1.8.</v>
      </c>
      <c r="C112" s="109" t="str">
        <f ca="1">IF(OFFSET(PO!N$12,ROW(C112)-ROW(C$12),0)=0,"",OFFSET(PO!N$12,ROW(C112)-ROW(C$12),0))</f>
        <v>INSTALAÇÕES ELÉTRICAS</v>
      </c>
      <c r="D112" s="111" t="str">
        <f ca="1">IF(OFFSET(PO!O$12,ROW(D112)-ROW(D$12),0)=0,"",OFFSET(PO!O$12,ROW(D112)-ROW(D$12),0))</f>
        <v/>
      </c>
      <c r="E112" s="140">
        <f ca="1">IF($A112&lt;&gt;"Serviço",0,ROUND(SUMIF($F$9:$P$9,"&lt;&gt;",$F112:$P112),15-13*PO!$X$3))</f>
        <v>0</v>
      </c>
      <c r="F112" s="361">
        <f ca="1">OFFSET(PO!$P$12,ROW($E112)-ROW(F$12),0)</f>
        <v>0</v>
      </c>
      <c r="G112" s="361"/>
      <c r="H112" s="361"/>
      <c r="I112" s="361"/>
      <c r="J112" s="361"/>
      <c r="K112" s="361"/>
      <c r="L112" s="361"/>
      <c r="M112" s="361"/>
      <c r="N112" s="361"/>
      <c r="O112" s="361"/>
      <c r="U112" s="182"/>
    </row>
    <row r="113" spans="1:21" s="1" customFormat="1" ht="38.25" x14ac:dyDescent="0.2">
      <c r="A113" s="110" t="str">
        <f ca="1">OFFSET(PO!J$12,ROW(A113)-ROW($A$12),0)</f>
        <v>Serviço</v>
      </c>
      <c r="B113" s="112" t="str">
        <f ca="1">IF($A113=0,"",OFFSET(PO!K$12,ROW(B113)-ROW(B$12),0))</f>
        <v>1.8.0.0.1.</v>
      </c>
      <c r="C113" s="109" t="str">
        <f ca="1">IF(OFFSET(PO!N$12,ROW(C113)-ROW(C$12),0)=0,"",OFFSET(PO!N$12,ROW(C113)-ROW(C$12),0))</f>
        <v>CABO DE COBRE FLEXÍVEL ISOLADO, 2,5 MM², ANTI-CHAMA 450/750 V, PARA CIRCUITOS TERMINAIS - FORNECIMENTO E INSTALAÇÃO. AF_03/2023</v>
      </c>
      <c r="D113" s="111" t="str">
        <f ca="1">IF(OFFSET(PO!O$12,ROW(D113)-ROW(D$12),0)=0,"",OFFSET(PO!O$12,ROW(D113)-ROW(D$12),0))</f>
        <v>M</v>
      </c>
      <c r="E113" s="140">
        <f ca="1">IF($A113&lt;&gt;"Serviço",0,ROUND(SUMIF($F$9:$P$9,"&lt;&gt;",$F113:$P113),15-13*PO!$X$3))</f>
        <v>6600</v>
      </c>
      <c r="F113" s="361">
        <f ca="1">OFFSET(PO!$P$12,ROW($E113)-ROW(F$12),0)</f>
        <v>6600</v>
      </c>
      <c r="G113" s="361"/>
      <c r="H113" s="361"/>
      <c r="I113" s="361"/>
      <c r="J113" s="361"/>
      <c r="K113" s="361"/>
      <c r="L113" s="361"/>
      <c r="M113" s="361"/>
      <c r="N113" s="361"/>
      <c r="O113" s="361"/>
      <c r="U113" s="182"/>
    </row>
    <row r="114" spans="1:21" s="1" customFormat="1" ht="38.25" x14ac:dyDescent="0.2">
      <c r="A114" s="110" t="str">
        <f ca="1">OFFSET(PO!J$12,ROW(A114)-ROW($A$12),0)</f>
        <v>Serviço</v>
      </c>
      <c r="B114" s="112" t="str">
        <f ca="1">IF($A114=0,"",OFFSET(PO!K$12,ROW(B114)-ROW(B$12),0))</f>
        <v>1.8.0.0.2.</v>
      </c>
      <c r="C114" s="109" t="str">
        <f ca="1">IF(OFFSET(PO!N$12,ROW(C114)-ROW(C$12),0)=0,"",OFFSET(PO!N$12,ROW(C114)-ROW(C$12),0))</f>
        <v>CABO DE COBRE FLEXÍVEL ISOLADO, 2,5 MM², ANTI-CHAMA 0,6/1,0 KV, PARA CIRCUITOS TERMINAIS - FORNECIMENTO E INSTALAÇÃO. AF_03/2023</v>
      </c>
      <c r="D114" s="111" t="str">
        <f ca="1">IF(OFFSET(PO!O$12,ROW(D114)-ROW(D$12),0)=0,"",OFFSET(PO!O$12,ROW(D114)-ROW(D$12),0))</f>
        <v>M</v>
      </c>
      <c r="E114" s="140">
        <f ca="1">IF($A114&lt;&gt;"Serviço",0,ROUND(SUMIF($F$9:$P$9,"&lt;&gt;",$F114:$P114),15-13*PO!$X$3))</f>
        <v>30</v>
      </c>
      <c r="F114" s="361">
        <f ca="1">OFFSET(PO!$P$12,ROW($E114)-ROW(F$12),0)</f>
        <v>30</v>
      </c>
      <c r="G114" s="361"/>
      <c r="H114" s="361"/>
      <c r="I114" s="361"/>
      <c r="J114" s="361"/>
      <c r="K114" s="361"/>
      <c r="L114" s="361"/>
      <c r="M114" s="361"/>
      <c r="N114" s="361"/>
      <c r="O114" s="361"/>
      <c r="U114" s="182"/>
    </row>
    <row r="115" spans="1:21" s="1" customFormat="1" ht="38.25" x14ac:dyDescent="0.2">
      <c r="A115" s="110" t="str">
        <f ca="1">OFFSET(PO!J$12,ROW(A115)-ROW($A$12),0)</f>
        <v>Serviço</v>
      </c>
      <c r="B115" s="112" t="str">
        <f ca="1">IF($A115=0,"",OFFSET(PO!K$12,ROW(B115)-ROW(B$12),0))</f>
        <v>1.8.0.0.3.</v>
      </c>
      <c r="C115" s="109" t="str">
        <f ca="1">IF(OFFSET(PO!N$12,ROW(C115)-ROW(C$12),0)=0,"",OFFSET(PO!N$12,ROW(C115)-ROW(C$12),0))</f>
        <v>CABO DE COBRE FLEXÍVEL ISOLADO, 4 MM², ANTI-CHAMA 450/750 V, PARA CIRCUITOS TERMINAIS - FORNECIMENTO E INSTALAÇÃO. AF_03/2023</v>
      </c>
      <c r="D115" s="111" t="str">
        <f ca="1">IF(OFFSET(PO!O$12,ROW(D115)-ROW(D$12),0)=0,"",OFFSET(PO!O$12,ROW(D115)-ROW(D$12),0))</f>
        <v>M</v>
      </c>
      <c r="E115" s="140">
        <f ca="1">IF($A115&lt;&gt;"Serviço",0,ROUND(SUMIF($F$9:$P$9,"&lt;&gt;",$F115:$P115),15-13*PO!$X$3))</f>
        <v>400</v>
      </c>
      <c r="F115" s="361">
        <f ca="1">OFFSET(PO!$P$12,ROW($E115)-ROW(F$12),0)</f>
        <v>400</v>
      </c>
      <c r="G115" s="361"/>
      <c r="H115" s="361"/>
      <c r="I115" s="361"/>
      <c r="J115" s="361"/>
      <c r="K115" s="361"/>
      <c r="L115" s="361"/>
      <c r="M115" s="361"/>
      <c r="N115" s="361"/>
      <c r="O115" s="361"/>
      <c r="U115" s="182"/>
    </row>
    <row r="116" spans="1:21" s="1" customFormat="1" ht="38.25" x14ac:dyDescent="0.2">
      <c r="A116" s="110" t="str">
        <f ca="1">OFFSET(PO!J$12,ROW(A116)-ROW($A$12),0)</f>
        <v>Serviço</v>
      </c>
      <c r="B116" s="112" t="str">
        <f ca="1">IF($A116=0,"",OFFSET(PO!K$12,ROW(B116)-ROW(B$12),0))</f>
        <v>1.8.0.0.4.</v>
      </c>
      <c r="C116" s="109" t="str">
        <f ca="1">IF(OFFSET(PO!N$12,ROW(C116)-ROW(C$12),0)=0,"",OFFSET(PO!N$12,ROW(C116)-ROW(C$12),0))</f>
        <v>CABO DE COBRE FLEXÍVEL ISOLADO, 6 MM², ANTI-CHAMA 0,6/1,0 KV, PARA CIRCUITOS TERMINAIS - FORNECIMENTO E INSTALAÇÃO. AF_03/2023</v>
      </c>
      <c r="D116" s="111" t="str">
        <f ca="1">IF(OFFSET(PO!O$12,ROW(D116)-ROW(D$12),0)=0,"",OFFSET(PO!O$12,ROW(D116)-ROW(D$12),0))</f>
        <v>M</v>
      </c>
      <c r="E116" s="140">
        <f ca="1">IF($A116&lt;&gt;"Serviço",0,ROUND(SUMIF($F$9:$P$9,"&lt;&gt;",$F116:$P116),15-13*PO!$X$3))</f>
        <v>245</v>
      </c>
      <c r="F116" s="361">
        <f ca="1">OFFSET(PO!$P$12,ROW($E116)-ROW(F$12),0)</f>
        <v>245</v>
      </c>
      <c r="G116" s="361"/>
      <c r="H116" s="361"/>
      <c r="I116" s="361"/>
      <c r="J116" s="361"/>
      <c r="K116" s="361"/>
      <c r="L116" s="361"/>
      <c r="M116" s="361"/>
      <c r="N116" s="361"/>
      <c r="O116" s="361"/>
      <c r="U116" s="182"/>
    </row>
    <row r="117" spans="1:21" s="1" customFormat="1" ht="38.25" x14ac:dyDescent="0.2">
      <c r="A117" s="110" t="str">
        <f ca="1">OFFSET(PO!J$12,ROW(A117)-ROW($A$12),0)</f>
        <v>Serviço</v>
      </c>
      <c r="B117" s="112" t="str">
        <f ca="1">IF($A117=0,"",OFFSET(PO!K$12,ROW(B117)-ROW(B$12),0))</f>
        <v>1.8.0.0.5.</v>
      </c>
      <c r="C117" s="109" t="str">
        <f ca="1">IF(OFFSET(PO!N$12,ROW(C117)-ROW(C$12),0)=0,"",OFFSET(PO!N$12,ROW(C117)-ROW(C$12),0))</f>
        <v>CABO DE COBRE FLEXÍVEL ISOLADO, 10 MM², ANTI-CHAMA 450/750 V, PARA CIRCUITOS TERMINAIS - FORNECIMENTO E INSTALAÇÃO. AF_03/2023</v>
      </c>
      <c r="D117" s="111" t="str">
        <f ca="1">IF(OFFSET(PO!O$12,ROW(D117)-ROW(D$12),0)=0,"",OFFSET(PO!O$12,ROW(D117)-ROW(D$12),0))</f>
        <v>M</v>
      </c>
      <c r="E117" s="140">
        <f ca="1">IF($A117&lt;&gt;"Serviço",0,ROUND(SUMIF($F$9:$P$9,"&lt;&gt;",$F117:$P117),15-13*PO!$X$3))</f>
        <v>50</v>
      </c>
      <c r="F117" s="361">
        <f ca="1">OFFSET(PO!$P$12,ROW($E117)-ROW(F$12),0)</f>
        <v>50</v>
      </c>
      <c r="G117" s="361"/>
      <c r="H117" s="361"/>
      <c r="I117" s="361"/>
      <c r="J117" s="361"/>
      <c r="K117" s="361"/>
      <c r="L117" s="361"/>
      <c r="M117" s="361"/>
      <c r="N117" s="361"/>
      <c r="O117" s="361"/>
      <c r="U117" s="182"/>
    </row>
    <row r="118" spans="1:21" s="1" customFormat="1" ht="38.25" x14ac:dyDescent="0.2">
      <c r="A118" s="110" t="str">
        <f ca="1">OFFSET(PO!J$12,ROW(A118)-ROW($A$12),0)</f>
        <v>Serviço</v>
      </c>
      <c r="B118" s="112" t="str">
        <f ca="1">IF($A118=0,"",OFFSET(PO!K$12,ROW(B118)-ROW(B$12),0))</f>
        <v>1.8.0.0.6.</v>
      </c>
      <c r="C118" s="109" t="str">
        <f ca="1">IF(OFFSET(PO!N$12,ROW(C118)-ROW(C$12),0)=0,"",OFFSET(PO!N$12,ROW(C118)-ROW(C$12),0))</f>
        <v>CABO DE COBRE FLEXÍVEL ISOLADO, 16 MM², ANTI-CHAMA 0,6/1,0 KV, PARA DISTRIBUIÇÃO - FORNECIMENTO E INSTALAÇÃO. AF_10/2020</v>
      </c>
      <c r="D118" s="111" t="str">
        <f ca="1">IF(OFFSET(PO!O$12,ROW(D118)-ROW(D$12),0)=0,"",OFFSET(PO!O$12,ROW(D118)-ROW(D$12),0))</f>
        <v>M</v>
      </c>
      <c r="E118" s="140">
        <f ca="1">IF($A118&lt;&gt;"Serviço",0,ROUND(SUMIF($F$9:$P$9,"&lt;&gt;",$F118:$P118),15-13*PO!$X$3))</f>
        <v>400</v>
      </c>
      <c r="F118" s="361">
        <f ca="1">OFFSET(PO!$P$12,ROW($E118)-ROW(F$12),0)</f>
        <v>400</v>
      </c>
      <c r="G118" s="361"/>
      <c r="H118" s="361"/>
      <c r="I118" s="361"/>
      <c r="J118" s="361"/>
      <c r="K118" s="361"/>
      <c r="L118" s="361"/>
      <c r="M118" s="361"/>
      <c r="N118" s="361"/>
      <c r="O118" s="361"/>
      <c r="U118" s="182"/>
    </row>
    <row r="119" spans="1:21" s="1" customFormat="1" ht="51" x14ac:dyDescent="0.2">
      <c r="A119" s="110" t="str">
        <f ca="1">OFFSET(PO!J$12,ROW(A119)-ROW($A$12),0)</f>
        <v>Serviço</v>
      </c>
      <c r="B119" s="112" t="str">
        <f ca="1">IF($A119=0,"",OFFSET(PO!K$12,ROW(B119)-ROW(B$12),0))</f>
        <v>1.8.0.0.7.</v>
      </c>
      <c r="C119" s="109" t="str">
        <f ca="1">IF(OFFSET(PO!N$12,ROW(C119)-ROW(C$12),0)=0,"",OFFSET(PO!N$12,ROW(C119)-ROW(C$12),0))</f>
        <v>CABO DE COBRE FLEXÍVEL ISOLADO, 35 MM², ANTI-CHAMA 0,6/1,0 KV, PARA REDE ENTERRADA DE DISTRIBUIÇÃO DE ENERGIA ELÉTRICA - FORNECIMENTO E INSTALAÇÃO. AF_12/2021</v>
      </c>
      <c r="D119" s="111" t="str">
        <f ca="1">IF(OFFSET(PO!O$12,ROW(D119)-ROW(D$12),0)=0,"",OFFSET(PO!O$12,ROW(D119)-ROW(D$12),0))</f>
        <v>M</v>
      </c>
      <c r="E119" s="140">
        <f ca="1">IF($A119&lt;&gt;"Serviço",0,ROUND(SUMIF($F$9:$P$9,"&lt;&gt;",$F119:$P119),15-13*PO!$X$3))</f>
        <v>110</v>
      </c>
      <c r="F119" s="361">
        <f ca="1">OFFSET(PO!$P$12,ROW($E119)-ROW(F$12),0)</f>
        <v>110</v>
      </c>
      <c r="G119" s="361"/>
      <c r="H119" s="361"/>
      <c r="I119" s="361"/>
      <c r="J119" s="361"/>
      <c r="K119" s="361"/>
      <c r="L119" s="361"/>
      <c r="M119" s="361"/>
      <c r="N119" s="361"/>
      <c r="O119" s="361"/>
      <c r="U119" s="182"/>
    </row>
    <row r="120" spans="1:21" s="1" customFormat="1" ht="38.25" x14ac:dyDescent="0.2">
      <c r="A120" s="110" t="str">
        <f ca="1">OFFSET(PO!J$12,ROW(A120)-ROW($A$12),0)</f>
        <v>Serviço</v>
      </c>
      <c r="B120" s="112" t="str">
        <f ca="1">IF($A120=0,"",OFFSET(PO!K$12,ROW(B120)-ROW(B$12),0))</f>
        <v>1.8.0.0.8.</v>
      </c>
      <c r="C120" s="109" t="str">
        <f ca="1">IF(OFFSET(PO!N$12,ROW(C120)-ROW(C$12),0)=0,"",OFFSET(PO!N$12,ROW(C120)-ROW(C$12),0))</f>
        <v>ELETRODUTO FLEXÍVEL CORRUGADO REFORÇADO, PVC, DN 25 MM (3/4"), PARA CIRCUITOS TERMINAIS, INSTALADO EM FORRO - FORNECIMENTO E INSTALAÇÃO. AF_03/2023</v>
      </c>
      <c r="D120" s="111" t="str">
        <f ca="1">IF(OFFSET(PO!O$12,ROW(D120)-ROW(D$12),0)=0,"",OFFSET(PO!O$12,ROW(D120)-ROW(D$12),0))</f>
        <v>M</v>
      </c>
      <c r="E120" s="140">
        <f ca="1">IF($A120&lt;&gt;"Serviço",0,ROUND(SUMIF($F$9:$P$9,"&lt;&gt;",$F120:$P120),15-13*PO!$X$3))</f>
        <v>750</v>
      </c>
      <c r="F120" s="361">
        <f ca="1">OFFSET(PO!$P$12,ROW($E120)-ROW(F$12),0)</f>
        <v>750</v>
      </c>
      <c r="G120" s="361"/>
      <c r="H120" s="361"/>
      <c r="I120" s="361"/>
      <c r="J120" s="361"/>
      <c r="K120" s="361"/>
      <c r="L120" s="361"/>
      <c r="M120" s="361"/>
      <c r="N120" s="361"/>
      <c r="O120" s="361"/>
      <c r="U120" s="182"/>
    </row>
    <row r="121" spans="1:21" s="1" customFormat="1" ht="38.25" x14ac:dyDescent="0.2">
      <c r="A121" s="110" t="str">
        <f ca="1">OFFSET(PO!J$12,ROW(A121)-ROW($A$12),0)</f>
        <v>Serviço</v>
      </c>
      <c r="B121" s="112" t="str">
        <f ca="1">IF($A121=0,"",OFFSET(PO!K$12,ROW(B121)-ROW(B$12),0))</f>
        <v>1.8.0.0.9.</v>
      </c>
      <c r="C121" s="109" t="str">
        <f ca="1">IF(OFFSET(PO!N$12,ROW(C121)-ROW(C$12),0)=0,"",OFFSET(PO!N$12,ROW(C121)-ROW(C$12),0))</f>
        <v>ELETRODUTO FLEXÍVEL CORRUGADO, PVC, DN 32 MM (1"), PARA CIRCUITOS TERMINAIS, INSTALADO EM FORRO - FORNECIMENTO E INSTALAÇÃO. AF_03/2023</v>
      </c>
      <c r="D121" s="111" t="str">
        <f ca="1">IF(OFFSET(PO!O$12,ROW(D121)-ROW(D$12),0)=0,"",OFFSET(PO!O$12,ROW(D121)-ROW(D$12),0))</f>
        <v>M</v>
      </c>
      <c r="E121" s="140">
        <f ca="1">IF($A121&lt;&gt;"Serviço",0,ROUND(SUMIF($F$9:$P$9,"&lt;&gt;",$F121:$P121),15-13*PO!$X$3))</f>
        <v>40</v>
      </c>
      <c r="F121" s="361">
        <f ca="1">OFFSET(PO!$P$12,ROW($E121)-ROW(F$12),0)</f>
        <v>40</v>
      </c>
      <c r="G121" s="361"/>
      <c r="H121" s="361"/>
      <c r="I121" s="361"/>
      <c r="J121" s="361"/>
      <c r="K121" s="361"/>
      <c r="L121" s="361"/>
      <c r="M121" s="361"/>
      <c r="N121" s="361"/>
      <c r="O121" s="361"/>
      <c r="U121" s="182"/>
    </row>
    <row r="122" spans="1:21" s="1" customFormat="1" ht="38.25" x14ac:dyDescent="0.2">
      <c r="A122" s="110" t="str">
        <f ca="1">OFFSET(PO!J$12,ROW(A122)-ROW($A$12),0)</f>
        <v>Serviço</v>
      </c>
      <c r="B122" s="112" t="str">
        <f ca="1">IF($A122=0,"",OFFSET(PO!K$12,ROW(B122)-ROW(B$12),0))</f>
        <v>1.8.0.0.10.</v>
      </c>
      <c r="C122" s="109" t="str">
        <f ca="1">IF(OFFSET(PO!N$12,ROW(C122)-ROW(C$12),0)=0,"",OFFSET(PO!N$12,ROW(C122)-ROW(C$12),0))</f>
        <v>ELETRODUTO FLEXÍVEL CORRUGADO, PEAD, DN 90 (3"), PARA REDE ENTERRADA DE DISTRIBUIÇÃO DE ENERGIA ELÉTRICA - FORNECIMENTO E INSTALAÇÃO. AF_12/2021</v>
      </c>
      <c r="D122" s="111" t="str">
        <f ca="1">IF(OFFSET(PO!O$12,ROW(D122)-ROW(D$12),0)=0,"",OFFSET(PO!O$12,ROW(D122)-ROW(D$12),0))</f>
        <v>M</v>
      </c>
      <c r="E122" s="140">
        <f ca="1">IF($A122&lt;&gt;"Serviço",0,ROUND(SUMIF($F$9:$P$9,"&lt;&gt;",$F122:$P122),15-13*PO!$X$3))</f>
        <v>30</v>
      </c>
      <c r="F122" s="361">
        <f ca="1">OFFSET(PO!$P$12,ROW($E122)-ROW(F$12),0)</f>
        <v>30</v>
      </c>
      <c r="G122" s="361"/>
      <c r="H122" s="361"/>
      <c r="I122" s="361"/>
      <c r="J122" s="361"/>
      <c r="K122" s="361"/>
      <c r="L122" s="361"/>
      <c r="M122" s="361"/>
      <c r="N122" s="361"/>
      <c r="O122" s="361"/>
      <c r="U122" s="182"/>
    </row>
    <row r="123" spans="1:21" s="1" customFormat="1" ht="25.5" x14ac:dyDescent="0.2">
      <c r="A123" s="110" t="str">
        <f ca="1">OFFSET(PO!J$12,ROW(A123)-ROW($A$12),0)</f>
        <v>Serviço</v>
      </c>
      <c r="B123" s="112" t="str">
        <f ca="1">IF($A123=0,"",OFFSET(PO!K$12,ROW(B123)-ROW(B$12),0))</f>
        <v>1.8.0.0.11.</v>
      </c>
      <c r="C123" s="109" t="str">
        <f ca="1">IF(OFFSET(PO!N$12,ROW(C123)-ROW(C$12),0)=0,"",OFFSET(PO!N$12,ROW(C123)-ROW(C$12),0))</f>
        <v>CAIXA OCTOGONAL 4" X 4", PVC, INSTALADA EM LAJE - FORNECIMENTO E INSTALAÇÃO. AF_03/2023</v>
      </c>
      <c r="D123" s="111" t="str">
        <f ca="1">IF(OFFSET(PO!O$12,ROW(D123)-ROW(D$12),0)=0,"",OFFSET(PO!O$12,ROW(D123)-ROW(D$12),0))</f>
        <v>UN</v>
      </c>
      <c r="E123" s="140">
        <f ca="1">IF($A123&lt;&gt;"Serviço",0,ROUND(SUMIF($F$9:$P$9,"&lt;&gt;",$F123:$P123),15-13*PO!$X$3))</f>
        <v>146</v>
      </c>
      <c r="F123" s="361">
        <f ca="1">OFFSET(PO!$P$12,ROW($E123)-ROW(F$12),0)</f>
        <v>146</v>
      </c>
      <c r="G123" s="361"/>
      <c r="H123" s="361"/>
      <c r="I123" s="361"/>
      <c r="J123" s="361"/>
      <c r="K123" s="361"/>
      <c r="L123" s="361"/>
      <c r="M123" s="361"/>
      <c r="N123" s="361"/>
      <c r="O123" s="361"/>
      <c r="U123" s="182"/>
    </row>
    <row r="124" spans="1:21" s="1" customFormat="1" ht="25.5" x14ac:dyDescent="0.2">
      <c r="A124" s="110" t="str">
        <f ca="1">OFFSET(PO!J$12,ROW(A124)-ROW($A$12),0)</f>
        <v>Serviço</v>
      </c>
      <c r="B124" s="112" t="str">
        <f ca="1">IF($A124=0,"",OFFSET(PO!K$12,ROW(B124)-ROW(B$12),0))</f>
        <v>1.8.0.0.12.</v>
      </c>
      <c r="C124" s="109" t="str">
        <f ca="1">IF(OFFSET(PO!N$12,ROW(C124)-ROW(C$12),0)=0,"",OFFSET(PO!N$12,ROW(C124)-ROW(C$12),0))</f>
        <v>ELETRODUTO RÍGIDO SOLDÁVEL, PVC, DN 25 MM (3/4"), APARENTE - FORNECIMENTO E INSTALAÇÃO. AF_10/2022</v>
      </c>
      <c r="D124" s="111" t="str">
        <f ca="1">IF(OFFSET(PO!O$12,ROW(D124)-ROW(D$12),0)=0,"",OFFSET(PO!O$12,ROW(D124)-ROW(D$12),0))</f>
        <v>M</v>
      </c>
      <c r="E124" s="140">
        <f ca="1">IF($A124&lt;&gt;"Serviço",0,ROUND(SUMIF($F$9:$P$9,"&lt;&gt;",$F124:$P124),15-13*PO!$X$3))</f>
        <v>1000</v>
      </c>
      <c r="F124" s="361">
        <f ca="1">OFFSET(PO!$P$12,ROW($E124)-ROW(F$12),0)</f>
        <v>1000</v>
      </c>
      <c r="G124" s="361"/>
      <c r="H124" s="361"/>
      <c r="I124" s="361"/>
      <c r="J124" s="361"/>
      <c r="K124" s="361"/>
      <c r="L124" s="361"/>
      <c r="M124" s="361"/>
      <c r="N124" s="361"/>
      <c r="O124" s="361"/>
      <c r="U124" s="182"/>
    </row>
    <row r="125" spans="1:21" s="1" customFormat="1" ht="25.5" x14ac:dyDescent="0.2">
      <c r="A125" s="110" t="str">
        <f ca="1">OFFSET(PO!J$12,ROW(A125)-ROW($A$12),0)</f>
        <v>Serviço</v>
      </c>
      <c r="B125" s="112" t="str">
        <f ca="1">IF($A125=0,"",OFFSET(PO!K$12,ROW(B125)-ROW(B$12),0))</f>
        <v>1.8.0.0.13.</v>
      </c>
      <c r="C125" s="109" t="str">
        <f ca="1">IF(OFFSET(PO!N$12,ROW(C125)-ROW(C$12),0)=0,"",OFFSET(PO!N$12,ROW(C125)-ROW(C$12),0))</f>
        <v>ELETRODUTO RÍGIDO SOLDÁVEL, PVC, DN 32 MM (1"), APARENTE - FORNECIMENTO E INSTALAÇÃO. AF_10/2022</v>
      </c>
      <c r="D125" s="111" t="str">
        <f ca="1">IF(OFFSET(PO!O$12,ROW(D125)-ROW(D$12),0)=0,"",OFFSET(PO!O$12,ROW(D125)-ROW(D$12),0))</f>
        <v>M</v>
      </c>
      <c r="E125" s="140">
        <f ca="1">IF($A125&lt;&gt;"Serviço",0,ROUND(SUMIF($F$9:$P$9,"&lt;&gt;",$F125:$P125),15-13*PO!$X$3))</f>
        <v>39</v>
      </c>
      <c r="F125" s="361">
        <f ca="1">OFFSET(PO!$P$12,ROW($E125)-ROW(F$12),0)</f>
        <v>39</v>
      </c>
      <c r="G125" s="361"/>
      <c r="H125" s="361"/>
      <c r="I125" s="361"/>
      <c r="J125" s="361"/>
      <c r="K125" s="361"/>
      <c r="L125" s="361"/>
      <c r="M125" s="361"/>
      <c r="N125" s="361"/>
      <c r="O125" s="361"/>
      <c r="U125" s="182"/>
    </row>
    <row r="126" spans="1:21" s="1" customFormat="1" x14ac:dyDescent="0.2">
      <c r="A126" s="110" t="str">
        <f ca="1">OFFSET(PO!J$12,ROW(A126)-ROW($A$12),0)</f>
        <v>Serviço</v>
      </c>
      <c r="B126" s="112" t="str">
        <f ca="1">IF($A126=0,"",OFFSET(PO!K$12,ROW(B126)-ROW(B$12),0))</f>
        <v>1.8.0.0.14.</v>
      </c>
      <c r="C126" s="109" t="str">
        <f ca="1">IF(OFFSET(PO!N$12,ROW(C126)-ROW(C$12),0)=0,"",OFFSET(PO!N$12,ROW(C126)-ROW(C$12),0))</f>
        <v>ESCAVAÇÃO MANUAL DE VALA. AF_09/2024</v>
      </c>
      <c r="D126" s="111" t="str">
        <f ca="1">IF(OFFSET(PO!O$12,ROW(D126)-ROW(D$12),0)=0,"",OFFSET(PO!O$12,ROW(D126)-ROW(D$12),0))</f>
        <v>M3</v>
      </c>
      <c r="E126" s="140">
        <f ca="1">IF($A126&lt;&gt;"Serviço",0,ROUND(SUMIF($F$9:$P$9,"&lt;&gt;",$F126:$P126),15-13*PO!$X$3))</f>
        <v>3</v>
      </c>
      <c r="F126" s="361">
        <f ca="1">OFFSET(PO!$P$12,ROW($E126)-ROW(F$12),0)</f>
        <v>3</v>
      </c>
      <c r="G126" s="361"/>
      <c r="H126" s="361"/>
      <c r="I126" s="361"/>
      <c r="J126" s="361"/>
      <c r="K126" s="361"/>
      <c r="L126" s="361"/>
      <c r="M126" s="361"/>
      <c r="N126" s="361"/>
      <c r="O126" s="361"/>
      <c r="U126" s="182"/>
    </row>
    <row r="127" spans="1:21" s="1" customFormat="1" ht="38.25" x14ac:dyDescent="0.2">
      <c r="A127" s="110" t="str">
        <f ca="1">OFFSET(PO!J$12,ROW(A127)-ROW($A$12),0)</f>
        <v>Serviço</v>
      </c>
      <c r="B127" s="112" t="str">
        <f ca="1">IF($A127=0,"",OFFSET(PO!K$12,ROW(B127)-ROW(B$12),0))</f>
        <v>1.8.0.0.15.</v>
      </c>
      <c r="C127" s="109" t="str">
        <f ca="1">IF(OFFSET(PO!N$12,ROW(C127)-ROW(C$12),0)=0,"",OFFSET(PO!N$12,ROW(C127)-ROW(C$12),0))</f>
        <v>CONCRETO FCK = 15MPA, TRAÇO 1:3,4:3,4 (EM MASSA SECA DE CIMENTO/ AREIA MÉDIA/ SEIXO ROLADO) - PREPARO MANUAL. AF_05/2021</v>
      </c>
      <c r="D127" s="111" t="str">
        <f ca="1">IF(OFFSET(PO!O$12,ROW(D127)-ROW(D$12),0)=0,"",OFFSET(PO!O$12,ROW(D127)-ROW(D$12),0))</f>
        <v>M3</v>
      </c>
      <c r="E127" s="140">
        <f ca="1">IF($A127&lt;&gt;"Serviço",0,ROUND(SUMIF($F$9:$P$9,"&lt;&gt;",$F127:$P127),15-13*PO!$X$3))</f>
        <v>0.8</v>
      </c>
      <c r="F127" s="361">
        <f ca="1">OFFSET(PO!$P$12,ROW($E127)-ROW(F$12),0)</f>
        <v>0.8</v>
      </c>
      <c r="G127" s="361"/>
      <c r="H127" s="361"/>
      <c r="I127" s="361"/>
      <c r="J127" s="361"/>
      <c r="K127" s="361"/>
      <c r="L127" s="361"/>
      <c r="M127" s="361"/>
      <c r="N127" s="361"/>
      <c r="O127" s="361"/>
      <c r="U127" s="182"/>
    </row>
    <row r="128" spans="1:21" s="1" customFormat="1" ht="25.5" x14ac:dyDescent="0.2">
      <c r="A128" s="110" t="str">
        <f ca="1">OFFSET(PO!J$12,ROW(A128)-ROW($A$12),0)</f>
        <v>Serviço</v>
      </c>
      <c r="B128" s="112" t="str">
        <f ca="1">IF($A128=0,"",OFFSET(PO!K$12,ROW(B128)-ROW(B$12),0))</f>
        <v>1.8.0.0.16.</v>
      </c>
      <c r="C128" s="109" t="str">
        <f ca="1">IF(OFFSET(PO!N$12,ROW(C128)-ROW(C$12),0)=0,"",OFFSET(PO!N$12,ROW(C128)-ROW(C$12),0))</f>
        <v>ATERRO MANUAL DE VALAS COM SOLO ARGILO-ARENOSO. AF_08/2023</v>
      </c>
      <c r="D128" s="111" t="str">
        <f ca="1">IF(OFFSET(PO!O$12,ROW(D128)-ROW(D$12),0)=0,"",OFFSET(PO!O$12,ROW(D128)-ROW(D$12),0))</f>
        <v>M3</v>
      </c>
      <c r="E128" s="140">
        <f ca="1">IF($A128&lt;&gt;"Serviço",0,ROUND(SUMIF($F$9:$P$9,"&lt;&gt;",$F128:$P128),15-13*PO!$X$3))</f>
        <v>3</v>
      </c>
      <c r="F128" s="361">
        <f ca="1">OFFSET(PO!$P$12,ROW($E128)-ROW(F$12),0)</f>
        <v>3</v>
      </c>
      <c r="G128" s="361"/>
      <c r="H128" s="361"/>
      <c r="I128" s="361"/>
      <c r="J128" s="361"/>
      <c r="K128" s="361"/>
      <c r="L128" s="361"/>
      <c r="M128" s="361"/>
      <c r="N128" s="361"/>
      <c r="O128" s="361"/>
      <c r="U128" s="182"/>
    </row>
    <row r="129" spans="1:21" s="1" customFormat="1" ht="25.5" x14ac:dyDescent="0.2">
      <c r="A129" s="110" t="str">
        <f ca="1">OFFSET(PO!J$12,ROW(A129)-ROW($A$12),0)</f>
        <v>Serviço</v>
      </c>
      <c r="B129" s="112" t="str">
        <f ca="1">IF($A129=0,"",OFFSET(PO!K$12,ROW(B129)-ROW(B$12),0))</f>
        <v>1.8.0.0.17.</v>
      </c>
      <c r="C129" s="109" t="str">
        <f ca="1">IF(OFFSET(PO!N$12,ROW(C129)-ROW(C$12),0)=0,"",OFFSET(PO!N$12,ROW(C129)-ROW(C$12),0))</f>
        <v>ELETROCALHA EM CHAPA DE AÇO GALVANIZADA 50X50MM COM SEPARADOR INTERNO - FORNECIMENTO E INSTALAÇÃO</v>
      </c>
      <c r="D129" s="111" t="str">
        <f ca="1">IF(OFFSET(PO!O$12,ROW(D129)-ROW(D$12),0)=0,"",OFFSET(PO!O$12,ROW(D129)-ROW(D$12),0))</f>
        <v>M</v>
      </c>
      <c r="E129" s="140">
        <f ca="1">IF($A129&lt;&gt;"Serviço",0,ROUND(SUMIF($F$9:$P$9,"&lt;&gt;",$F129:$P129),15-13*PO!$X$3))</f>
        <v>170</v>
      </c>
      <c r="F129" s="361">
        <f ca="1">OFFSET(PO!$P$12,ROW($E129)-ROW(F$12),0)</f>
        <v>170</v>
      </c>
      <c r="G129" s="361"/>
      <c r="H129" s="361"/>
      <c r="I129" s="361"/>
      <c r="J129" s="361"/>
      <c r="K129" s="361"/>
      <c r="L129" s="361"/>
      <c r="M129" s="361"/>
      <c r="N129" s="361"/>
      <c r="O129" s="361"/>
      <c r="U129" s="182"/>
    </row>
    <row r="130" spans="1:21" s="1" customFormat="1" ht="25.5" x14ac:dyDescent="0.2">
      <c r="A130" s="110" t="str">
        <f ca="1">OFFSET(PO!J$12,ROW(A130)-ROW($A$12),0)</f>
        <v>Serviço</v>
      </c>
      <c r="B130" s="112" t="str">
        <f ca="1">IF($A130=0,"",OFFSET(PO!K$12,ROW(B130)-ROW(B$12),0))</f>
        <v>1.8.0.0.18.</v>
      </c>
      <c r="C130" s="109" t="str">
        <f ca="1">IF(OFFSET(PO!N$12,ROW(C130)-ROW(C$12),0)=0,"",OFFSET(PO!N$12,ROW(C130)-ROW(C$12),0))</f>
        <v>BUCHA EM ALUMINIO, COM ROSCA, DE 3/4", PARA ELETRODUTO</v>
      </c>
      <c r="D130" s="111" t="str">
        <f ca="1">IF(OFFSET(PO!O$12,ROW(D130)-ROW(D$12),0)=0,"",OFFSET(PO!O$12,ROW(D130)-ROW(D$12),0))</f>
        <v>UN</v>
      </c>
      <c r="E130" s="140">
        <f ca="1">IF($A130&lt;&gt;"Serviço",0,ROUND(SUMIF($F$9:$P$9,"&lt;&gt;",$F130:$P130),15-13*PO!$X$3))</f>
        <v>38</v>
      </c>
      <c r="F130" s="361">
        <f ca="1">OFFSET(PO!$P$12,ROW($E130)-ROW(F$12),0)</f>
        <v>38</v>
      </c>
      <c r="G130" s="361"/>
      <c r="H130" s="361"/>
      <c r="I130" s="361"/>
      <c r="J130" s="361"/>
      <c r="K130" s="361"/>
      <c r="L130" s="361"/>
      <c r="M130" s="361"/>
      <c r="N130" s="361"/>
      <c r="O130" s="361"/>
      <c r="U130" s="182"/>
    </row>
    <row r="131" spans="1:21" s="1" customFormat="1" ht="38.25" x14ac:dyDescent="0.2">
      <c r="A131" s="110" t="str">
        <f ca="1">OFFSET(PO!J$12,ROW(A131)-ROW($A$12),0)</f>
        <v>Serviço</v>
      </c>
      <c r="B131" s="112" t="str">
        <f ca="1">IF($A131=0,"",OFFSET(PO!K$12,ROW(B131)-ROW(B$12),0))</f>
        <v>1.8.0.0.19.</v>
      </c>
      <c r="C131" s="109" t="str">
        <f ca="1">IF(OFFSET(PO!N$12,ROW(C131)-ROW(C$12),0)=0,"",OFFSET(PO!N$12,ROW(C131)-ROW(C$12),0))</f>
        <v>TERMINAL A COMPRESSAO EM COBRE ESTANHADO PARA CABO 16 MM2, 1 FURO E 1 COMPRESSAO, PARA PARAFUSO DE FIXACAO M6</v>
      </c>
      <c r="D131" s="111" t="str">
        <f ca="1">IF(OFFSET(PO!O$12,ROW(D131)-ROW(D$12),0)=0,"",OFFSET(PO!O$12,ROW(D131)-ROW(D$12),0))</f>
        <v>UN</v>
      </c>
      <c r="E131" s="140">
        <f ca="1">IF($A131&lt;&gt;"Serviço",0,ROUND(SUMIF($F$9:$P$9,"&lt;&gt;",$F131:$P131),15-13*PO!$X$3))</f>
        <v>10</v>
      </c>
      <c r="F131" s="361">
        <f ca="1">OFFSET(PO!$P$12,ROW($E131)-ROW(F$12),0)</f>
        <v>10</v>
      </c>
      <c r="G131" s="361"/>
      <c r="H131" s="361"/>
      <c r="I131" s="361"/>
      <c r="J131" s="361"/>
      <c r="K131" s="361"/>
      <c r="L131" s="361"/>
      <c r="M131" s="361"/>
      <c r="N131" s="361"/>
      <c r="O131" s="361"/>
      <c r="U131" s="182"/>
    </row>
    <row r="132" spans="1:21" s="1" customFormat="1" ht="38.25" x14ac:dyDescent="0.2">
      <c r="A132" s="110" t="str">
        <f ca="1">OFFSET(PO!J$12,ROW(A132)-ROW($A$12),0)</f>
        <v>Serviço</v>
      </c>
      <c r="B132" s="112" t="str">
        <f ca="1">IF($A132=0,"",OFFSET(PO!K$12,ROW(B132)-ROW(B$12),0))</f>
        <v>1.8.0.0.20.</v>
      </c>
      <c r="C132" s="109" t="str">
        <f ca="1">IF(OFFSET(PO!N$12,ROW(C132)-ROW(C$12),0)=0,"",OFFSET(PO!N$12,ROW(C132)-ROW(C$12),0))</f>
        <v>TUBO DE AÇO GALVANIZADO COM COSTURA, CLASSE MÉDIA, DN 80 (3"), CONEXÃO ROSQUEADA, INSTALADO EM PRUMADAS - FORNECIMENTO E INSTALAÇÃO. AF_10/2020</v>
      </c>
      <c r="D132" s="111" t="str">
        <f ca="1">IF(OFFSET(PO!O$12,ROW(D132)-ROW(D$12),0)=0,"",OFFSET(PO!O$12,ROW(D132)-ROW(D$12),0))</f>
        <v>M</v>
      </c>
      <c r="E132" s="140">
        <f ca="1">IF($A132&lt;&gt;"Serviço",0,ROUND(SUMIF($F$9:$P$9,"&lt;&gt;",$F132:$P132),15-13*PO!$X$3))</f>
        <v>3</v>
      </c>
      <c r="F132" s="361">
        <f ca="1">OFFSET(PO!$P$12,ROW($E132)-ROW(F$12),0)</f>
        <v>3</v>
      </c>
      <c r="G132" s="361"/>
      <c r="H132" s="361"/>
      <c r="I132" s="361"/>
      <c r="J132" s="361"/>
      <c r="K132" s="361"/>
      <c r="L132" s="361"/>
      <c r="M132" s="361"/>
      <c r="N132" s="361"/>
      <c r="O132" s="361"/>
      <c r="U132" s="182"/>
    </row>
    <row r="133" spans="1:21" s="1" customFormat="1" ht="25.5" x14ac:dyDescent="0.2">
      <c r="A133" s="110" t="str">
        <f ca="1">OFFSET(PO!J$12,ROW(A133)-ROW($A$12),0)</f>
        <v>Serviço</v>
      </c>
      <c r="B133" s="112" t="str">
        <f ca="1">IF($A133=0,"",OFFSET(PO!K$12,ROW(B133)-ROW(B$12),0))</f>
        <v>1.8.0.0.21.</v>
      </c>
      <c r="C133" s="109" t="str">
        <f ca="1">IF(OFFSET(PO!N$12,ROW(C133)-ROW(C$12),0)=0,"",OFFSET(PO!N$12,ROW(C133)-ROW(C$12),0))</f>
        <v>CURVA 90 GRAUS PARA ELETRODUTO, EM ACO GALVANIZADO ELETROLITICO, COM ROSCA, DIAMETRO DE 80 MM (3")</v>
      </c>
      <c r="D133" s="111" t="str">
        <f ca="1">IF(OFFSET(PO!O$12,ROW(D133)-ROW(D$12),0)=0,"",OFFSET(PO!O$12,ROW(D133)-ROW(D$12),0))</f>
        <v>UN</v>
      </c>
      <c r="E133" s="140">
        <f ca="1">IF($A133&lt;&gt;"Serviço",0,ROUND(SUMIF($F$9:$P$9,"&lt;&gt;",$F133:$P133),15-13*PO!$X$3))</f>
        <v>2</v>
      </c>
      <c r="F133" s="361">
        <f ca="1">OFFSET(PO!$P$12,ROW($E133)-ROW(F$12),0)</f>
        <v>2</v>
      </c>
      <c r="G133" s="361"/>
      <c r="H133" s="361"/>
      <c r="I133" s="361"/>
      <c r="J133" s="361"/>
      <c r="K133" s="361"/>
      <c r="L133" s="361"/>
      <c r="M133" s="361"/>
      <c r="N133" s="361"/>
      <c r="O133" s="361"/>
      <c r="U133" s="182"/>
    </row>
    <row r="134" spans="1:21" s="1" customFormat="1" x14ac:dyDescent="0.2">
      <c r="A134" s="110" t="str">
        <f ca="1">OFFSET(PO!J$12,ROW(A134)-ROW($A$12),0)</f>
        <v>Serviço</v>
      </c>
      <c r="B134" s="112" t="str">
        <f ca="1">IF($A134=0,"",OFFSET(PO!K$12,ROW(B134)-ROW(B$12),0))</f>
        <v>1.8.0.0.22.</v>
      </c>
      <c r="C134" s="109" t="str">
        <f ca="1">IF(OFFSET(PO!N$12,ROW(C134)-ROW(C$12),0)=0,"",OFFSET(PO!N$12,ROW(C134)-ROW(C$12),0))</f>
        <v>BUCHA EM ALUMINIO, COM ROSCA, DE 3", PARA ELETRODUTO</v>
      </c>
      <c r="D134" s="111" t="str">
        <f ca="1">IF(OFFSET(PO!O$12,ROW(D134)-ROW(D$12),0)=0,"",OFFSET(PO!O$12,ROW(D134)-ROW(D$12),0))</f>
        <v>UN</v>
      </c>
      <c r="E134" s="140">
        <f ca="1">IF($A134&lt;&gt;"Serviço",0,ROUND(SUMIF($F$9:$P$9,"&lt;&gt;",$F134:$P134),15-13*PO!$X$3))</f>
        <v>4</v>
      </c>
      <c r="F134" s="361">
        <f ca="1">OFFSET(PO!$P$12,ROW($E134)-ROW(F$12),0)</f>
        <v>4</v>
      </c>
      <c r="G134" s="361"/>
      <c r="H134" s="361"/>
      <c r="I134" s="361"/>
      <c r="J134" s="361"/>
      <c r="K134" s="361"/>
      <c r="L134" s="361"/>
      <c r="M134" s="361"/>
      <c r="N134" s="361"/>
      <c r="O134" s="361"/>
      <c r="U134" s="182"/>
    </row>
    <row r="135" spans="1:21" s="1" customFormat="1" ht="51" x14ac:dyDescent="0.2">
      <c r="A135" s="110" t="str">
        <f ca="1">OFFSET(PO!J$12,ROW(A135)-ROW($A$12),0)</f>
        <v>Serviço</v>
      </c>
      <c r="B135" s="112" t="str">
        <f ca="1">IF($A135=0,"",OFFSET(PO!K$12,ROW(B135)-ROW(B$12),0))</f>
        <v>1.8.0.0.23.</v>
      </c>
      <c r="C135" s="109" t="str">
        <f ca="1">IF(OFFSET(PO!N$12,ROW(C135)-ROW(C$12),0)=0,"",OFFSET(PO!N$12,ROW(C135)-ROW(C$12),0))</f>
        <v>TUBO DE AÇO GALVANIZADO COM COSTURA, CLASSE MÉDIA, CONEXÃO ROSQUEADA, DN 25 (1"), INSTALADO EM REDE DE ALIMENTAÇÃO PARA SPRINKLER - FORNECIMENTO E INSTALAÇÃO. AF_10/2020</v>
      </c>
      <c r="D135" s="111" t="str">
        <f ca="1">IF(OFFSET(PO!O$12,ROW(D135)-ROW(D$12),0)=0,"",OFFSET(PO!O$12,ROW(D135)-ROW(D$12),0))</f>
        <v>M</v>
      </c>
      <c r="E135" s="140">
        <f ca="1">IF($A135&lt;&gt;"Serviço",0,ROUND(SUMIF($F$9:$P$9,"&lt;&gt;",$F135:$P135),15-13*PO!$X$3))</f>
        <v>3</v>
      </c>
      <c r="F135" s="361">
        <f ca="1">OFFSET(PO!$P$12,ROW($E135)-ROW(F$12),0)</f>
        <v>3</v>
      </c>
      <c r="G135" s="361"/>
      <c r="H135" s="361"/>
      <c r="I135" s="361"/>
      <c r="J135" s="361"/>
      <c r="K135" s="361"/>
      <c r="L135" s="361"/>
      <c r="M135" s="361"/>
      <c r="N135" s="361"/>
      <c r="O135" s="361"/>
      <c r="U135" s="182"/>
    </row>
    <row r="136" spans="1:21" s="1" customFormat="1" ht="25.5" x14ac:dyDescent="0.2">
      <c r="A136" s="110" t="str">
        <f ca="1">OFFSET(PO!J$12,ROW(A136)-ROW($A$12),0)</f>
        <v>Serviço</v>
      </c>
      <c r="B136" s="112" t="str">
        <f ca="1">IF($A136=0,"",OFFSET(PO!K$12,ROW(B136)-ROW(B$12),0))</f>
        <v>1.8.0.0.24.</v>
      </c>
      <c r="C136" s="109" t="str">
        <f ca="1">IF(OFFSET(PO!N$12,ROW(C136)-ROW(C$12),0)=0,"",OFFSET(PO!N$12,ROW(C136)-ROW(C$12),0))</f>
        <v>CONDULETE DE ALUMINIO TIPO E, PARA ELETRODUTO ROSCAVEL DE 3", COM TAMPA CEGA</v>
      </c>
      <c r="D136" s="111" t="str">
        <f ca="1">IF(OFFSET(PO!O$12,ROW(D136)-ROW(D$12),0)=0,"",OFFSET(PO!O$12,ROW(D136)-ROW(D$12),0))</f>
        <v>UN</v>
      </c>
      <c r="E136" s="140">
        <f ca="1">IF($A136&lt;&gt;"Serviço",0,ROUND(SUMIF($F$9:$P$9,"&lt;&gt;",$F136:$P136),15-13*PO!$X$3))</f>
        <v>1</v>
      </c>
      <c r="F136" s="361">
        <f ca="1">OFFSET(PO!$P$12,ROW($E136)-ROW(F$12),0)</f>
        <v>1</v>
      </c>
      <c r="G136" s="361"/>
      <c r="H136" s="361"/>
      <c r="I136" s="361"/>
      <c r="J136" s="361"/>
      <c r="K136" s="361"/>
      <c r="L136" s="361"/>
      <c r="M136" s="361"/>
      <c r="N136" s="361"/>
      <c r="O136" s="361"/>
      <c r="U136" s="182"/>
    </row>
    <row r="137" spans="1:21" s="1" customFormat="1" ht="38.25" x14ac:dyDescent="0.2">
      <c r="A137" s="110" t="str">
        <f ca="1">OFFSET(PO!J$12,ROW(A137)-ROW($A$12),0)</f>
        <v>Serviço</v>
      </c>
      <c r="B137" s="112" t="str">
        <f ca="1">IF($A137=0,"",OFFSET(PO!K$12,ROW(B137)-ROW(B$12),0))</f>
        <v>1.8.0.0.25.</v>
      </c>
      <c r="C137" s="109" t="str">
        <f ca="1">IF(OFFSET(PO!N$12,ROW(C137)-ROW(C$12),0)=0,"",OFFSET(PO!N$12,ROW(C137)-ROW(C$12),0))</f>
        <v>ARGAMASSA INDUSTRIALIZADA MULTIUSO PARA REVESTIMENTOS E ASSENTAMENTO DA ALVENARIA, PREPARO MANUAL. AF_08/2019</v>
      </c>
      <c r="D137" s="111" t="str">
        <f ca="1">IF(OFFSET(PO!O$12,ROW(D137)-ROW(D$12),0)=0,"",OFFSET(PO!O$12,ROW(D137)-ROW(D$12),0))</f>
        <v>M3</v>
      </c>
      <c r="E137" s="140">
        <f ca="1">IF($A137&lt;&gt;"Serviço",0,ROUND(SUMIF($F$9:$P$9,"&lt;&gt;",$F137:$P137),15-13*PO!$X$3))</f>
        <v>0.05</v>
      </c>
      <c r="F137" s="361">
        <f ca="1">OFFSET(PO!$P$12,ROW($E137)-ROW(F$12),0)</f>
        <v>0.05</v>
      </c>
      <c r="G137" s="361"/>
      <c r="H137" s="361"/>
      <c r="I137" s="361"/>
      <c r="J137" s="361"/>
      <c r="K137" s="361"/>
      <c r="L137" s="361"/>
      <c r="M137" s="361"/>
      <c r="N137" s="361"/>
      <c r="O137" s="361"/>
      <c r="U137" s="182"/>
    </row>
    <row r="138" spans="1:21" s="1" customFormat="1" x14ac:dyDescent="0.2">
      <c r="A138" s="110" t="str">
        <f ca="1">OFFSET(PO!J$12,ROW(A138)-ROW($A$12),0)</f>
        <v>Serviço</v>
      </c>
      <c r="B138" s="112" t="str">
        <f ca="1">IF($A138=0,"",OFFSET(PO!K$12,ROW(B138)-ROW(B$12),0))</f>
        <v>1.8.0.0.26.</v>
      </c>
      <c r="C138" s="109" t="str">
        <f ca="1">IF(OFFSET(PO!N$12,ROW(C138)-ROW(C$12),0)=0,"",OFFSET(PO!N$12,ROW(C138)-ROW(C$12),0))</f>
        <v>PEDREIRO COM ENCARGOS COMPLEMENTARES</v>
      </c>
      <c r="D138" s="111" t="str">
        <f ca="1">IF(OFFSET(PO!O$12,ROW(D138)-ROW(D$12),0)=0,"",OFFSET(PO!O$12,ROW(D138)-ROW(D$12),0))</f>
        <v>H</v>
      </c>
      <c r="E138" s="140">
        <f ca="1">IF($A138&lt;&gt;"Serviço",0,ROUND(SUMIF($F$9:$P$9,"&lt;&gt;",$F138:$P138),15-13*PO!$X$3))</f>
        <v>8</v>
      </c>
      <c r="F138" s="361">
        <f ca="1">OFFSET(PO!$P$12,ROW($E138)-ROW(F$12),0)</f>
        <v>8</v>
      </c>
      <c r="G138" s="361"/>
      <c r="H138" s="361"/>
      <c r="I138" s="361"/>
      <c r="J138" s="361"/>
      <c r="K138" s="361"/>
      <c r="L138" s="361"/>
      <c r="M138" s="361"/>
      <c r="N138" s="361"/>
      <c r="O138" s="361"/>
      <c r="U138" s="182"/>
    </row>
    <row r="139" spans="1:21" s="1" customFormat="1" ht="38.25" x14ac:dyDescent="0.2">
      <c r="A139" s="110" t="str">
        <f ca="1">OFFSET(PO!J$12,ROW(A139)-ROW($A$12),0)</f>
        <v>Serviço</v>
      </c>
      <c r="B139" s="112" t="str">
        <f ca="1">IF($A139=0,"",OFFSET(PO!K$12,ROW(B139)-ROW(B$12),0))</f>
        <v>1.8.0.0.27.</v>
      </c>
      <c r="C139" s="109" t="str">
        <f ca="1">IF(OFFSET(PO!N$12,ROW(C139)-ROW(C$12),0)=0,"",OFFSET(PO!N$12,ROW(C139)-ROW(C$12),0))</f>
        <v>INTERRUPTOR SIMPLES (1 MÓDULO), 10A/250V, INCLUINDO SUPORTE E PLACA - FORNECIMENTO E INSTALAÇÃO. AF_03/2023</v>
      </c>
      <c r="D139" s="111" t="str">
        <f ca="1">IF(OFFSET(PO!O$12,ROW(D139)-ROW(D$12),0)=0,"",OFFSET(PO!O$12,ROW(D139)-ROW(D$12),0))</f>
        <v>UN</v>
      </c>
      <c r="E139" s="140">
        <f ca="1">IF($A139&lt;&gt;"Serviço",0,ROUND(SUMIF($F$9:$P$9,"&lt;&gt;",$F139:$P139),15-13*PO!$X$3))</f>
        <v>8</v>
      </c>
      <c r="F139" s="361">
        <f ca="1">OFFSET(PO!$P$12,ROW($E139)-ROW(F$12),0)</f>
        <v>8</v>
      </c>
      <c r="G139" s="361"/>
      <c r="H139" s="361"/>
      <c r="I139" s="361"/>
      <c r="J139" s="361"/>
      <c r="K139" s="361"/>
      <c r="L139" s="361"/>
      <c r="M139" s="361"/>
      <c r="N139" s="361"/>
      <c r="O139" s="361"/>
      <c r="U139" s="182"/>
    </row>
    <row r="140" spans="1:21" s="1" customFormat="1" ht="38.25" x14ac:dyDescent="0.2">
      <c r="A140" s="110" t="str">
        <f ca="1">OFFSET(PO!J$12,ROW(A140)-ROW($A$12),0)</f>
        <v>Serviço</v>
      </c>
      <c r="B140" s="112" t="str">
        <f ca="1">IF($A140=0,"",OFFSET(PO!K$12,ROW(B140)-ROW(B$12),0))</f>
        <v>1.8.0.0.28.</v>
      </c>
      <c r="C140" s="109" t="str">
        <f ca="1">IF(OFFSET(PO!N$12,ROW(C140)-ROW(C$12),0)=0,"",OFFSET(PO!N$12,ROW(C140)-ROW(C$12),0))</f>
        <v>INTERRUPTOR SIMPLES (2 MÓDULOS), 10A/250V, INCLUINDO SUPORTE E PLACA - FORNECIMENTO E INSTALAÇÃO. AF_03/2023</v>
      </c>
      <c r="D140" s="111" t="str">
        <f ca="1">IF(OFFSET(PO!O$12,ROW(D140)-ROW(D$12),0)=0,"",OFFSET(PO!O$12,ROW(D140)-ROW(D$12),0))</f>
        <v>UN</v>
      </c>
      <c r="E140" s="140">
        <f ca="1">IF($A140&lt;&gt;"Serviço",0,ROUND(SUMIF($F$9:$P$9,"&lt;&gt;",$F140:$P140),15-13*PO!$X$3))</f>
        <v>17</v>
      </c>
      <c r="F140" s="361">
        <f ca="1">OFFSET(PO!$P$12,ROW($E140)-ROW(F$12),0)</f>
        <v>17</v>
      </c>
      <c r="G140" s="361"/>
      <c r="H140" s="361"/>
      <c r="I140" s="361"/>
      <c r="J140" s="361"/>
      <c r="K140" s="361"/>
      <c r="L140" s="361"/>
      <c r="M140" s="361"/>
      <c r="N140" s="361"/>
      <c r="O140" s="361"/>
      <c r="U140" s="182"/>
    </row>
    <row r="141" spans="1:21" s="1" customFormat="1" ht="38.25" x14ac:dyDescent="0.2">
      <c r="A141" s="110" t="str">
        <f ca="1">OFFSET(PO!J$12,ROW(A141)-ROW($A$12),0)</f>
        <v>Serviço</v>
      </c>
      <c r="B141" s="112" t="str">
        <f ca="1">IF($A141=0,"",OFFSET(PO!K$12,ROW(B141)-ROW(B$12),0))</f>
        <v>1.8.0.0.29.</v>
      </c>
      <c r="C141" s="109" t="str">
        <f ca="1">IF(OFFSET(PO!N$12,ROW(C141)-ROW(C$12),0)=0,"",OFFSET(PO!N$12,ROW(C141)-ROW(C$12),0))</f>
        <v>INTERRUPTOR SIMPLES (3 MÓDULOS), 10A/250V, INCLUINDO SUPORTE E PLACA - FORNECIMENTO E INSTALAÇÃO. AF_03/2023</v>
      </c>
      <c r="D141" s="111" t="str">
        <f ca="1">IF(OFFSET(PO!O$12,ROW(D141)-ROW(D$12),0)=0,"",OFFSET(PO!O$12,ROW(D141)-ROW(D$12),0))</f>
        <v>UN</v>
      </c>
      <c r="E141" s="140">
        <f ca="1">IF($A141&lt;&gt;"Serviço",0,ROUND(SUMIF($F$9:$P$9,"&lt;&gt;",$F141:$P141),15-13*PO!$X$3))</f>
        <v>4</v>
      </c>
      <c r="F141" s="361">
        <f ca="1">OFFSET(PO!$P$12,ROW($E141)-ROW(F$12),0)</f>
        <v>4</v>
      </c>
      <c r="G141" s="361"/>
      <c r="H141" s="361"/>
      <c r="I141" s="361"/>
      <c r="J141" s="361"/>
      <c r="K141" s="361"/>
      <c r="L141" s="361"/>
      <c r="M141" s="361"/>
      <c r="N141" s="361"/>
      <c r="O141" s="361"/>
      <c r="U141" s="182"/>
    </row>
    <row r="142" spans="1:21" s="1" customFormat="1" ht="38.25" x14ac:dyDescent="0.2">
      <c r="A142" s="110" t="str">
        <f ca="1">OFFSET(PO!J$12,ROW(A142)-ROW($A$12),0)</f>
        <v>Serviço</v>
      </c>
      <c r="B142" s="112" t="str">
        <f ca="1">IF($A142=0,"",OFFSET(PO!K$12,ROW(B142)-ROW(B$12),0))</f>
        <v>1.8.0.0.30.</v>
      </c>
      <c r="C142" s="109" t="str">
        <f ca="1">IF(OFFSET(PO!N$12,ROW(C142)-ROW(C$12),0)=0,"",OFFSET(PO!N$12,ROW(C142)-ROW(C$12),0))</f>
        <v>INTERRUPTOR SIMPLES (1 MÓDULO) COM 1 TOMADA DE EMBUTIR 2P+T 10 A, INCLUINDO SUPORTE E PLACA - FORNECIMENTO E INSTALAÇÃO. AF_03/2023</v>
      </c>
      <c r="D142" s="111" t="str">
        <f ca="1">IF(OFFSET(PO!O$12,ROW(D142)-ROW(D$12),0)=0,"",OFFSET(PO!O$12,ROW(D142)-ROW(D$12),0))</f>
        <v>UN</v>
      </c>
      <c r="E142" s="140">
        <f ca="1">IF($A142&lt;&gt;"Serviço",0,ROUND(SUMIF($F$9:$P$9,"&lt;&gt;",$F142:$P142),15-13*PO!$X$3))</f>
        <v>11</v>
      </c>
      <c r="F142" s="361">
        <f ca="1">OFFSET(PO!$P$12,ROW($E142)-ROW(F$12),0)</f>
        <v>11</v>
      </c>
      <c r="G142" s="361"/>
      <c r="H142" s="361"/>
      <c r="I142" s="361"/>
      <c r="J142" s="361"/>
      <c r="K142" s="361"/>
      <c r="L142" s="361"/>
      <c r="M142" s="361"/>
      <c r="N142" s="361"/>
      <c r="O142" s="361"/>
      <c r="U142" s="182"/>
    </row>
    <row r="143" spans="1:21" s="1" customFormat="1" ht="38.25" x14ac:dyDescent="0.2">
      <c r="A143" s="110" t="str">
        <f ca="1">OFFSET(PO!J$12,ROW(A143)-ROW($A$12),0)</f>
        <v>Serviço</v>
      </c>
      <c r="B143" s="112" t="str">
        <f ca="1">IF($A143=0,"",OFFSET(PO!K$12,ROW(B143)-ROW(B$12),0))</f>
        <v>1.8.0.0.31.</v>
      </c>
      <c r="C143" s="109" t="str">
        <f ca="1">IF(OFFSET(PO!N$12,ROW(C143)-ROW(C$12),0)=0,"",OFFSET(PO!N$12,ROW(C143)-ROW(C$12),0))</f>
        <v>INTERRUPTOR SIMPLES (2 MÓDULOS) COM 1 TOMADA DE EMBUTIR 2P+T 10 A, INCLUINDO SUPORTE E PLACA - FORNECIMENTO E INSTALAÇÃO. AF_03/2023</v>
      </c>
      <c r="D143" s="111" t="str">
        <f ca="1">IF(OFFSET(PO!O$12,ROW(D143)-ROW(D$12),0)=0,"",OFFSET(PO!O$12,ROW(D143)-ROW(D$12),0))</f>
        <v>UN</v>
      </c>
      <c r="E143" s="140">
        <f ca="1">IF($A143&lt;&gt;"Serviço",0,ROUND(SUMIF($F$9:$P$9,"&lt;&gt;",$F143:$P143),15-13*PO!$X$3))</f>
        <v>2</v>
      </c>
      <c r="F143" s="361">
        <f ca="1">OFFSET(PO!$P$12,ROW($E143)-ROW(F$12),0)</f>
        <v>2</v>
      </c>
      <c r="G143" s="361"/>
      <c r="H143" s="361"/>
      <c r="I143" s="361"/>
      <c r="J143" s="361"/>
      <c r="K143" s="361"/>
      <c r="L143" s="361"/>
      <c r="M143" s="361"/>
      <c r="N143" s="361"/>
      <c r="O143" s="361"/>
      <c r="U143" s="182"/>
    </row>
    <row r="144" spans="1:21" s="1" customFormat="1" ht="38.25" x14ac:dyDescent="0.2">
      <c r="A144" s="110" t="str">
        <f ca="1">OFFSET(PO!J$12,ROW(A144)-ROW($A$12),0)</f>
        <v>Serviço</v>
      </c>
      <c r="B144" s="112" t="str">
        <f ca="1">IF($A144=0,"",OFFSET(PO!K$12,ROW(B144)-ROW(B$12),0))</f>
        <v>1.8.0.0.32.</v>
      </c>
      <c r="C144" s="109" t="str">
        <f ca="1">IF(OFFSET(PO!N$12,ROW(C144)-ROW(C$12),0)=0,"",OFFSET(PO!N$12,ROW(C144)-ROW(C$12),0))</f>
        <v>TOMADA ALTA DE EMBUTIR (1 MÓDULO), 2P+T 20 A, INCLUINDO SUPORTE E PLACA - FORNECIMENTO E INSTALAÇÃO. AF_03/2023</v>
      </c>
      <c r="D144" s="111" t="str">
        <f ca="1">IF(OFFSET(PO!O$12,ROW(D144)-ROW(D$12),0)=0,"",OFFSET(PO!O$12,ROW(D144)-ROW(D$12),0))</f>
        <v>UN</v>
      </c>
      <c r="E144" s="140">
        <f ca="1">IF($A144&lt;&gt;"Serviço",0,ROUND(SUMIF($F$9:$P$9,"&lt;&gt;",$F144:$P144),15-13*PO!$X$3))</f>
        <v>91</v>
      </c>
      <c r="F144" s="361">
        <f ca="1">OFFSET(PO!$P$12,ROW($E144)-ROW(F$12),0)</f>
        <v>91</v>
      </c>
      <c r="G144" s="361"/>
      <c r="H144" s="361"/>
      <c r="I144" s="361"/>
      <c r="J144" s="361"/>
      <c r="K144" s="361"/>
      <c r="L144" s="361"/>
      <c r="M144" s="361"/>
      <c r="N144" s="361"/>
      <c r="O144" s="361"/>
      <c r="U144" s="182"/>
    </row>
    <row r="145" spans="1:21" s="1" customFormat="1" ht="38.25" x14ac:dyDescent="0.2">
      <c r="A145" s="110" t="str">
        <f ca="1">OFFSET(PO!J$12,ROW(A145)-ROW($A$12),0)</f>
        <v>Serviço</v>
      </c>
      <c r="B145" s="112" t="str">
        <f ca="1">IF($A145=0,"",OFFSET(PO!K$12,ROW(B145)-ROW(B$12),0))</f>
        <v>1.8.0.0.33.</v>
      </c>
      <c r="C145" s="109" t="str">
        <f ca="1">IF(OFFSET(PO!N$12,ROW(C145)-ROW(C$12),0)=0,"",OFFSET(PO!N$12,ROW(C145)-ROW(C$12),0))</f>
        <v>TOMADA BAIXA DE EMBUTIR (1 MÓDULO), 2P+T 20 A, INCLUINDO SUPORTE E PLACA - FORNECIMENTO E INSTALAÇÃO. AF_03/2023</v>
      </c>
      <c r="D145" s="111" t="str">
        <f ca="1">IF(OFFSET(PO!O$12,ROW(D145)-ROW(D$12),0)=0,"",OFFSET(PO!O$12,ROW(D145)-ROW(D$12),0))</f>
        <v>UN</v>
      </c>
      <c r="E145" s="140">
        <f ca="1">IF($A145&lt;&gt;"Serviço",0,ROUND(SUMIF($F$9:$P$9,"&lt;&gt;",$F145:$P145),15-13*PO!$X$3))</f>
        <v>15</v>
      </c>
      <c r="F145" s="361">
        <f ca="1">OFFSET(PO!$P$12,ROW($E145)-ROW(F$12),0)</f>
        <v>15</v>
      </c>
      <c r="G145" s="361"/>
      <c r="H145" s="361"/>
      <c r="I145" s="361"/>
      <c r="J145" s="361"/>
      <c r="K145" s="361"/>
      <c r="L145" s="361"/>
      <c r="M145" s="361"/>
      <c r="N145" s="361"/>
      <c r="O145" s="361"/>
      <c r="U145" s="182"/>
    </row>
    <row r="146" spans="1:21" s="1" customFormat="1" ht="38.25" x14ac:dyDescent="0.2">
      <c r="A146" s="110" t="str">
        <f ca="1">OFFSET(PO!J$12,ROW(A146)-ROW($A$12),0)</f>
        <v>Serviço</v>
      </c>
      <c r="B146" s="112" t="str">
        <f ca="1">IF($A146=0,"",OFFSET(PO!K$12,ROW(B146)-ROW(B$12),0))</f>
        <v>1.8.0.0.34.</v>
      </c>
      <c r="C146" s="109" t="str">
        <f ca="1">IF(OFFSET(PO!N$12,ROW(C146)-ROW(C$12),0)=0,"",OFFSET(PO!N$12,ROW(C146)-ROW(C$12),0))</f>
        <v>TOMADA MÉDIA DE EMBUTIR (1 MÓDULO), 2P+T 20 A, INCLUINDO SUPORTE E PLACA - FORNECIMENTO E INSTALAÇÃO. AF_03/2023</v>
      </c>
      <c r="D146" s="111" t="str">
        <f ca="1">IF(OFFSET(PO!O$12,ROW(D146)-ROW(D$12),0)=0,"",OFFSET(PO!O$12,ROW(D146)-ROW(D$12),0))</f>
        <v>UN</v>
      </c>
      <c r="E146" s="140">
        <f ca="1">IF($A146&lt;&gt;"Serviço",0,ROUND(SUMIF($F$9:$P$9,"&lt;&gt;",$F146:$P146),15-13*PO!$X$3))</f>
        <v>164</v>
      </c>
      <c r="F146" s="361">
        <f ca="1">OFFSET(PO!$P$12,ROW($E146)-ROW(F$12),0)</f>
        <v>164</v>
      </c>
      <c r="G146" s="361"/>
      <c r="H146" s="361"/>
      <c r="I146" s="361"/>
      <c r="J146" s="361"/>
      <c r="K146" s="361"/>
      <c r="L146" s="361"/>
      <c r="M146" s="361"/>
      <c r="N146" s="361"/>
      <c r="O146" s="361"/>
      <c r="U146" s="182"/>
    </row>
    <row r="147" spans="1:21" s="1" customFormat="1" ht="38.25" x14ac:dyDescent="0.2">
      <c r="A147" s="110" t="str">
        <f ca="1">OFFSET(PO!J$12,ROW(A147)-ROW($A$12),0)</f>
        <v>Serviço</v>
      </c>
      <c r="B147" s="112" t="str">
        <f ca="1">IF($A147=0,"",OFFSET(PO!K$12,ROW(B147)-ROW(B$12),0))</f>
        <v>1.8.0.0.35.</v>
      </c>
      <c r="C147" s="109" t="str">
        <f ca="1">IF(OFFSET(PO!N$12,ROW(C147)-ROW(C$12),0)=0,"",OFFSET(PO!N$12,ROW(C147)-ROW(C$12),0))</f>
        <v>TOMADA BAIXA DE EMBUTIR (2 MÓDULOS), 2P+T 20 A, INCLUINDO SUPORTE E PLACA - FORNECIMENTO E INSTALAÇÃO. AF_03/2023</v>
      </c>
      <c r="D147" s="111" t="str">
        <f ca="1">IF(OFFSET(PO!O$12,ROW(D147)-ROW(D$12),0)=0,"",OFFSET(PO!O$12,ROW(D147)-ROW(D$12),0))</f>
        <v>UN</v>
      </c>
      <c r="E147" s="140">
        <f ca="1">IF($A147&lt;&gt;"Serviço",0,ROUND(SUMIF($F$9:$P$9,"&lt;&gt;",$F147:$P147),15-13*PO!$X$3))</f>
        <v>24</v>
      </c>
      <c r="F147" s="361">
        <f ca="1">OFFSET(PO!$P$12,ROW($E147)-ROW(F$12),0)</f>
        <v>24</v>
      </c>
      <c r="G147" s="361"/>
      <c r="H147" s="361"/>
      <c r="I147" s="361"/>
      <c r="J147" s="361"/>
      <c r="K147" s="361"/>
      <c r="L147" s="361"/>
      <c r="M147" s="361"/>
      <c r="N147" s="361"/>
      <c r="O147" s="361"/>
      <c r="U147" s="182"/>
    </row>
    <row r="148" spans="1:21" s="1" customFormat="1" ht="38.25" x14ac:dyDescent="0.2">
      <c r="A148" s="110" t="str">
        <f ca="1">OFFSET(PO!J$12,ROW(A148)-ROW($A$12),0)</f>
        <v>Serviço</v>
      </c>
      <c r="B148" s="112" t="str">
        <f ca="1">IF($A148=0,"",OFFSET(PO!K$12,ROW(B148)-ROW(B$12),0))</f>
        <v>1.8.0.0.36.</v>
      </c>
      <c r="C148" s="109" t="str">
        <f ca="1">IF(OFFSET(PO!N$12,ROW(C148)-ROW(C$12),0)=0,"",OFFSET(PO!N$12,ROW(C148)-ROW(C$12),0))</f>
        <v>CONDULETE DE PVC, TIPO B, PARA ELETRODUTO DE PVC SOLDÁVEL DN 25 MM (3/4''), APARENTE - FORNECIMENTO E INSTALAÇÃO. AF_10/2022</v>
      </c>
      <c r="D148" s="111" t="str">
        <f ca="1">IF(OFFSET(PO!O$12,ROW(D148)-ROW(D$12),0)=0,"",OFFSET(PO!O$12,ROW(D148)-ROW(D$12),0))</f>
        <v>UN</v>
      </c>
      <c r="E148" s="140">
        <f ca="1">IF($A148&lt;&gt;"Serviço",0,ROUND(SUMIF($F$9:$P$9,"&lt;&gt;",$F148:$P148),15-13*PO!$X$3))</f>
        <v>347</v>
      </c>
      <c r="F148" s="361">
        <f ca="1">OFFSET(PO!$P$12,ROW($E148)-ROW(F$12),0)</f>
        <v>347</v>
      </c>
      <c r="G148" s="361"/>
      <c r="H148" s="361"/>
      <c r="I148" s="361"/>
      <c r="J148" s="361"/>
      <c r="K148" s="361"/>
      <c r="L148" s="361"/>
      <c r="M148" s="361"/>
      <c r="N148" s="361"/>
      <c r="O148" s="361"/>
      <c r="U148" s="182"/>
    </row>
    <row r="149" spans="1:21" s="1" customFormat="1" ht="51" x14ac:dyDescent="0.2">
      <c r="A149" s="110" t="str">
        <f ca="1">OFFSET(PO!J$12,ROW(A149)-ROW($A$12),0)</f>
        <v>Serviço</v>
      </c>
      <c r="B149" s="112" t="str">
        <f ca="1">IF($A149=0,"",OFFSET(PO!K$12,ROW(B149)-ROW(B$12),0))</f>
        <v>1.8.0.0.37.</v>
      </c>
      <c r="C149" s="109" t="str">
        <f ca="1">IF(OFFSET(PO!N$12,ROW(C149)-ROW(C$12),0)=0,"",OFFSET(PO!N$12,ROW(C149)-ROW(C$12),0))</f>
        <v>QUADRO DE DISTRIBUIÇÃO DE ENERGIA EM CHAPA DE AÇO GALVANIZADO, DE SOBREPOR, COM BARRAMENTO TRIFÁSICO, PARA 24 DISJUNTORES DIN 100A - FORNECIMENTO E INSTALAÇÃO. AF_10/2020</v>
      </c>
      <c r="D149" s="111" t="str">
        <f ca="1">IF(OFFSET(PO!O$12,ROW(D149)-ROW(D$12),0)=0,"",OFFSET(PO!O$12,ROW(D149)-ROW(D$12),0))</f>
        <v>UNIDADE</v>
      </c>
      <c r="E149" s="140">
        <f ca="1">IF($A149&lt;&gt;"Serviço",0,ROUND(SUMIF($F$9:$P$9,"&lt;&gt;",$F149:$P149),15-13*PO!$X$3))</f>
        <v>2</v>
      </c>
      <c r="F149" s="361">
        <f ca="1">OFFSET(PO!$P$12,ROW($E149)-ROW(F$12),0)</f>
        <v>2</v>
      </c>
      <c r="G149" s="361"/>
      <c r="H149" s="361"/>
      <c r="I149" s="361"/>
      <c r="J149" s="361"/>
      <c r="K149" s="361"/>
      <c r="L149" s="361"/>
      <c r="M149" s="361"/>
      <c r="N149" s="361"/>
      <c r="O149" s="361"/>
      <c r="U149" s="182"/>
    </row>
    <row r="150" spans="1:21" s="1" customFormat="1" ht="51" x14ac:dyDescent="0.2">
      <c r="A150" s="110" t="str">
        <f ca="1">OFFSET(PO!J$12,ROW(A150)-ROW($A$12),0)</f>
        <v>Serviço</v>
      </c>
      <c r="B150" s="112" t="str">
        <f ca="1">IF($A150=0,"",OFFSET(PO!K$12,ROW(B150)-ROW(B$12),0))</f>
        <v>1.8.0.0.38.</v>
      </c>
      <c r="C150" s="109" t="str">
        <f ca="1">IF(OFFSET(PO!N$12,ROW(C150)-ROW(C$12),0)=0,"",OFFSET(PO!N$12,ROW(C150)-ROW(C$12),0))</f>
        <v>QUADRO DE DISTRIBUIÇÃO DE ENERGIA EM CHAPA DE AÇO GALVANIZADO, DE SOBREPOR, COM BARRAMENTO TRIFÁSICO, PARA 36 DISJUNTORES DIN 100A - FORNECIMENTO E INSTALAÇÃO. AF_10/2020</v>
      </c>
      <c r="D150" s="111" t="str">
        <f ca="1">IF(OFFSET(PO!O$12,ROW(D150)-ROW(D$12),0)=0,"",OFFSET(PO!O$12,ROW(D150)-ROW(D$12),0))</f>
        <v>UNIDADE</v>
      </c>
      <c r="E150" s="140">
        <f ca="1">IF($A150&lt;&gt;"Serviço",0,ROUND(SUMIF($F$9:$P$9,"&lt;&gt;",$F150:$P150),15-13*PO!$X$3))</f>
        <v>3</v>
      </c>
      <c r="F150" s="361">
        <f ca="1">OFFSET(PO!$P$12,ROW($E150)-ROW(F$12),0)</f>
        <v>3</v>
      </c>
      <c r="G150" s="361"/>
      <c r="H150" s="361"/>
      <c r="I150" s="361"/>
      <c r="J150" s="361"/>
      <c r="K150" s="361"/>
      <c r="L150" s="361"/>
      <c r="M150" s="361"/>
      <c r="N150" s="361"/>
      <c r="O150" s="361"/>
      <c r="U150" s="182"/>
    </row>
    <row r="151" spans="1:21" s="1" customFormat="1" ht="51" x14ac:dyDescent="0.2">
      <c r="A151" s="110" t="str">
        <f ca="1">OFFSET(PO!J$12,ROW(A151)-ROW($A$12),0)</f>
        <v>Serviço</v>
      </c>
      <c r="B151" s="112" t="str">
        <f ca="1">IF($A151=0,"",OFFSET(PO!K$12,ROW(B151)-ROW(B$12),0))</f>
        <v>1.8.0.0.39.</v>
      </c>
      <c r="C151" s="109" t="str">
        <f ca="1">IF(OFFSET(PO!N$12,ROW(C151)-ROW(C$12),0)=0,"",OFFSET(PO!N$12,ROW(C151)-ROW(C$12),0))</f>
        <v>QUADRO DE DISTRIBUIÇÃO DE ENERGIA EM CHAPA DE AÇO GALVANIZADO, DE SOBREPOR, COM BARRAMENTO TRIFÁSICO, PARA 48 DISJUNTORES DIN 100A - FORNECIMENTO E INSTALAÇÃO. AF_10/2020</v>
      </c>
      <c r="D151" s="111" t="str">
        <f ca="1">IF(OFFSET(PO!O$12,ROW(D151)-ROW(D$12),0)=0,"",OFFSET(PO!O$12,ROW(D151)-ROW(D$12),0))</f>
        <v>UND</v>
      </c>
      <c r="E151" s="140">
        <f ca="1">IF($A151&lt;&gt;"Serviço",0,ROUND(SUMIF($F$9:$P$9,"&lt;&gt;",$F151:$P151),15-13*PO!$X$3))</f>
        <v>1</v>
      </c>
      <c r="F151" s="361">
        <f ca="1">OFFSET(PO!$P$12,ROW($E151)-ROW(F$12),0)</f>
        <v>1</v>
      </c>
      <c r="G151" s="361"/>
      <c r="H151" s="361"/>
      <c r="I151" s="361"/>
      <c r="J151" s="361"/>
      <c r="K151" s="361"/>
      <c r="L151" s="361"/>
      <c r="M151" s="361"/>
      <c r="N151" s="361"/>
      <c r="O151" s="361"/>
      <c r="U151" s="182"/>
    </row>
    <row r="152" spans="1:21" s="1" customFormat="1" ht="25.5" x14ac:dyDescent="0.2">
      <c r="A152" s="110" t="str">
        <f ca="1">OFFSET(PO!J$12,ROW(A152)-ROW($A$12),0)</f>
        <v>Serviço</v>
      </c>
      <c r="B152" s="112" t="str">
        <f ca="1">IF($A152=0,"",OFFSET(PO!K$12,ROW(B152)-ROW(B$12),0))</f>
        <v>1.8.0.0.40.</v>
      </c>
      <c r="C152" s="109" t="str">
        <f ca="1">IF(OFFSET(PO!N$12,ROW(C152)-ROW(C$12),0)=0,"",OFFSET(PO!N$12,ROW(C152)-ROW(C$12),0))</f>
        <v>DISJUNTOR MONOPOLAR TIPO DIN, CORRENTE NOMINAL DE 16A - FORNECIMENTO E INSTALAÇÃO. AF_10/2020</v>
      </c>
      <c r="D152" s="111" t="str">
        <f ca="1">IF(OFFSET(PO!O$12,ROW(D152)-ROW(D$12),0)=0,"",OFFSET(PO!O$12,ROW(D152)-ROW(D$12),0))</f>
        <v>UN</v>
      </c>
      <c r="E152" s="140">
        <f ca="1">IF($A152&lt;&gt;"Serviço",0,ROUND(SUMIF($F$9:$P$9,"&lt;&gt;",$F152:$P152),15-13*PO!$X$3))</f>
        <v>14</v>
      </c>
      <c r="F152" s="361">
        <f ca="1">OFFSET(PO!$P$12,ROW($E152)-ROW(F$12),0)</f>
        <v>14</v>
      </c>
      <c r="G152" s="361"/>
      <c r="H152" s="361"/>
      <c r="I152" s="361"/>
      <c r="J152" s="361"/>
      <c r="K152" s="361"/>
      <c r="L152" s="361"/>
      <c r="M152" s="361"/>
      <c r="N152" s="361"/>
      <c r="O152" s="361"/>
      <c r="U152" s="182"/>
    </row>
    <row r="153" spans="1:21" s="1" customFormat="1" ht="25.5" x14ac:dyDescent="0.2">
      <c r="A153" s="110" t="str">
        <f ca="1">OFFSET(PO!J$12,ROW(A153)-ROW($A$12),0)</f>
        <v>Serviço</v>
      </c>
      <c r="B153" s="112" t="str">
        <f ca="1">IF($A153=0,"",OFFSET(PO!K$12,ROW(B153)-ROW(B$12),0))</f>
        <v>1.8.0.0.41.</v>
      </c>
      <c r="C153" s="109" t="str">
        <f ca="1">IF(OFFSET(PO!N$12,ROW(C153)-ROW(C$12),0)=0,"",OFFSET(PO!N$12,ROW(C153)-ROW(C$12),0))</f>
        <v>DISJUNTOR MONOPOLAR TIPO DIN, CORRENTE NOMINAL DE 20A - FORNECIMENTO E INSTALAÇÃO. AF_10/2020</v>
      </c>
      <c r="D153" s="111" t="str">
        <f ca="1">IF(OFFSET(PO!O$12,ROW(D153)-ROW(D$12),0)=0,"",OFFSET(PO!O$12,ROW(D153)-ROW(D$12),0))</f>
        <v>UN</v>
      </c>
      <c r="E153" s="140">
        <f ca="1">IF($A153&lt;&gt;"Serviço",0,ROUND(SUMIF($F$9:$P$9,"&lt;&gt;",$F153:$P153),15-13*PO!$X$3))</f>
        <v>41</v>
      </c>
      <c r="F153" s="361">
        <f ca="1">OFFSET(PO!$P$12,ROW($E153)-ROW(F$12),0)</f>
        <v>41</v>
      </c>
      <c r="G153" s="361"/>
      <c r="H153" s="361"/>
      <c r="I153" s="361"/>
      <c r="J153" s="361"/>
      <c r="K153" s="361"/>
      <c r="L153" s="361"/>
      <c r="M153" s="361"/>
      <c r="N153" s="361"/>
      <c r="O153" s="361"/>
      <c r="U153" s="182"/>
    </row>
    <row r="154" spans="1:21" s="1" customFormat="1" ht="25.5" x14ac:dyDescent="0.2">
      <c r="A154" s="110" t="str">
        <f ca="1">OFFSET(PO!J$12,ROW(A154)-ROW($A$12),0)</f>
        <v>Serviço</v>
      </c>
      <c r="B154" s="112" t="str">
        <f ca="1">IF($A154=0,"",OFFSET(PO!K$12,ROW(B154)-ROW(B$12),0))</f>
        <v>1.8.0.0.42.</v>
      </c>
      <c r="C154" s="109" t="str">
        <f ca="1">IF(OFFSET(PO!N$12,ROW(C154)-ROW(C$12),0)=0,"",OFFSET(PO!N$12,ROW(C154)-ROW(C$12),0))</f>
        <v>DISJUNTOR MONOPOLAR TIPO DIN, CORRENTE NOMINAL DE 32A - FORNECIMENTO E INSTALAÇÃO. AF_10/2020</v>
      </c>
      <c r="D154" s="111" t="str">
        <f ca="1">IF(OFFSET(PO!O$12,ROW(D154)-ROW(D$12),0)=0,"",OFFSET(PO!O$12,ROW(D154)-ROW(D$12),0))</f>
        <v>UN</v>
      </c>
      <c r="E154" s="140">
        <f ca="1">IF($A154&lt;&gt;"Serviço",0,ROUND(SUMIF($F$9:$P$9,"&lt;&gt;",$F154:$P154),15-13*PO!$X$3))</f>
        <v>1</v>
      </c>
      <c r="F154" s="361">
        <f ca="1">OFFSET(PO!$P$12,ROW($E154)-ROW(F$12),0)</f>
        <v>1</v>
      </c>
      <c r="G154" s="361"/>
      <c r="H154" s="361"/>
      <c r="I154" s="361"/>
      <c r="J154" s="361"/>
      <c r="K154" s="361"/>
      <c r="L154" s="361"/>
      <c r="M154" s="361"/>
      <c r="N154" s="361"/>
      <c r="O154" s="361"/>
      <c r="U154" s="182"/>
    </row>
    <row r="155" spans="1:21" s="1" customFormat="1" ht="25.5" x14ac:dyDescent="0.2">
      <c r="A155" s="110" t="str">
        <f ca="1">OFFSET(PO!J$12,ROW(A155)-ROW($A$12),0)</f>
        <v>Serviço</v>
      </c>
      <c r="B155" s="112" t="str">
        <f ca="1">IF($A155=0,"",OFFSET(PO!K$12,ROW(B155)-ROW(B$12),0))</f>
        <v>1.8.0.0.43.</v>
      </c>
      <c r="C155" s="109" t="str">
        <f ca="1">IF(OFFSET(PO!N$12,ROW(C155)-ROW(C$12),0)=0,"",OFFSET(PO!N$12,ROW(C155)-ROW(C$12),0))</f>
        <v>DISJUNTOR MONOPOLAR TIPO DIN, CORRENTE NOMINAL DE 50A - FORNECIMENTO E INSTALAÇÃO. AF_10/2020</v>
      </c>
      <c r="D155" s="111" t="str">
        <f ca="1">IF(OFFSET(PO!O$12,ROW(D155)-ROW(D$12),0)=0,"",OFFSET(PO!O$12,ROW(D155)-ROW(D$12),0))</f>
        <v>UN</v>
      </c>
      <c r="E155" s="140">
        <f ca="1">IF($A155&lt;&gt;"Serviço",0,ROUND(SUMIF($F$9:$P$9,"&lt;&gt;",$F155:$P155),15-13*PO!$X$3))</f>
        <v>3</v>
      </c>
      <c r="F155" s="361">
        <f ca="1">OFFSET(PO!$P$12,ROW($E155)-ROW(F$12),0)</f>
        <v>3</v>
      </c>
      <c r="G155" s="361"/>
      <c r="H155" s="361"/>
      <c r="I155" s="361"/>
      <c r="J155" s="361"/>
      <c r="K155" s="361"/>
      <c r="L155" s="361"/>
      <c r="M155" s="361"/>
      <c r="N155" s="361"/>
      <c r="O155" s="361"/>
      <c r="U155" s="182"/>
    </row>
    <row r="156" spans="1:21" s="1" customFormat="1" ht="25.5" x14ac:dyDescent="0.2">
      <c r="A156" s="110" t="str">
        <f ca="1">OFFSET(PO!J$12,ROW(A156)-ROW($A$12),0)</f>
        <v>Serviço</v>
      </c>
      <c r="B156" s="112" t="str">
        <f ca="1">IF($A156=0,"",OFFSET(PO!K$12,ROW(B156)-ROW(B$12),0))</f>
        <v>1.8.0.0.44.</v>
      </c>
      <c r="C156" s="109" t="str">
        <f ca="1">IF(OFFSET(PO!N$12,ROW(C156)-ROW(C$12),0)=0,"",OFFSET(PO!N$12,ROW(C156)-ROW(C$12),0))</f>
        <v>DISJUNTOR TERMOMAGNETICO PARA TRILHO DIN (IEC), MONOPOLAR, 63 A</v>
      </c>
      <c r="D156" s="111" t="str">
        <f ca="1">IF(OFFSET(PO!O$12,ROW(D156)-ROW(D$12),0)=0,"",OFFSET(PO!O$12,ROW(D156)-ROW(D$12),0))</f>
        <v>UN</v>
      </c>
      <c r="E156" s="140">
        <f ca="1">IF($A156&lt;&gt;"Serviço",0,ROUND(SUMIF($F$9:$P$9,"&lt;&gt;",$F156:$P156),15-13*PO!$X$3))</f>
        <v>3</v>
      </c>
      <c r="F156" s="361">
        <f ca="1">OFFSET(PO!$P$12,ROW($E156)-ROW(F$12),0)</f>
        <v>3</v>
      </c>
      <c r="G156" s="361"/>
      <c r="H156" s="361"/>
      <c r="I156" s="361"/>
      <c r="J156" s="361"/>
      <c r="K156" s="361"/>
      <c r="L156" s="361"/>
      <c r="M156" s="361"/>
      <c r="N156" s="361"/>
      <c r="O156" s="361"/>
      <c r="U156" s="182"/>
    </row>
    <row r="157" spans="1:21" s="1" customFormat="1" ht="25.5" x14ac:dyDescent="0.2">
      <c r="A157" s="110" t="str">
        <f ca="1">OFFSET(PO!J$12,ROW(A157)-ROW($A$12),0)</f>
        <v>Serviço</v>
      </c>
      <c r="B157" s="112" t="str">
        <f ca="1">IF($A157=0,"",OFFSET(PO!K$12,ROW(B157)-ROW(B$12),0))</f>
        <v>1.8.0.0.45.</v>
      </c>
      <c r="C157" s="109" t="str">
        <f ca="1">IF(OFFSET(PO!N$12,ROW(C157)-ROW(C$12),0)=0,"",OFFSET(PO!N$12,ROW(C157)-ROW(C$12),0))</f>
        <v>DISJUNTOR TRIPOLAR TIPO DIN, CORRENTE NOMINAL DE 32A - FORNECIMENTO E INSTALAÇÃO. AF_10/2020</v>
      </c>
      <c r="D157" s="111" t="str">
        <f ca="1">IF(OFFSET(PO!O$12,ROW(D157)-ROW(D$12),0)=0,"",OFFSET(PO!O$12,ROW(D157)-ROW(D$12),0))</f>
        <v>UN</v>
      </c>
      <c r="E157" s="140">
        <f ca="1">IF($A157&lt;&gt;"Serviço",0,ROUND(SUMIF($F$9:$P$9,"&lt;&gt;",$F157:$P157),15-13*PO!$X$3))</f>
        <v>2</v>
      </c>
      <c r="F157" s="361">
        <f ca="1">OFFSET(PO!$P$12,ROW($E157)-ROW(F$12),0)</f>
        <v>2</v>
      </c>
      <c r="G157" s="361"/>
      <c r="H157" s="361"/>
      <c r="I157" s="361"/>
      <c r="J157" s="361"/>
      <c r="K157" s="361"/>
      <c r="L157" s="361"/>
      <c r="M157" s="361"/>
      <c r="N157" s="361"/>
      <c r="O157" s="361"/>
      <c r="U157" s="182"/>
    </row>
    <row r="158" spans="1:21" s="1" customFormat="1" ht="25.5" x14ac:dyDescent="0.2">
      <c r="A158" s="110" t="str">
        <f ca="1">OFFSET(PO!J$12,ROW(A158)-ROW($A$12),0)</f>
        <v>Serviço</v>
      </c>
      <c r="B158" s="112" t="str">
        <f ca="1">IF($A158=0,"",OFFSET(PO!K$12,ROW(B158)-ROW(B$12),0))</f>
        <v>1.8.0.0.46.</v>
      </c>
      <c r="C158" s="109" t="str">
        <f ca="1">IF(OFFSET(PO!N$12,ROW(C158)-ROW(C$12),0)=0,"",OFFSET(PO!N$12,ROW(C158)-ROW(C$12),0))</f>
        <v>DISJUNTOR TRIPOLAR TIPO DIN, CORRENTE NOMINAL DE 40A - FORNECIMENTO E INSTALAÇÃO. AF_10/2020</v>
      </c>
      <c r="D158" s="111" t="str">
        <f ca="1">IF(OFFSET(PO!O$12,ROW(D158)-ROW(D$12),0)=0,"",OFFSET(PO!O$12,ROW(D158)-ROW(D$12),0))</f>
        <v>UN</v>
      </c>
      <c r="E158" s="140">
        <f ca="1">IF($A158&lt;&gt;"Serviço",0,ROUND(SUMIF($F$9:$P$9,"&lt;&gt;",$F158:$P158),15-13*PO!$X$3))</f>
        <v>2</v>
      </c>
      <c r="F158" s="361">
        <f ca="1">OFFSET(PO!$P$12,ROW($E158)-ROW(F$12),0)</f>
        <v>2</v>
      </c>
      <c r="G158" s="361"/>
      <c r="H158" s="361"/>
      <c r="I158" s="361"/>
      <c r="J158" s="361"/>
      <c r="K158" s="361"/>
      <c r="L158" s="361"/>
      <c r="M158" s="361"/>
      <c r="N158" s="361"/>
      <c r="O158" s="361"/>
      <c r="U158" s="182"/>
    </row>
    <row r="159" spans="1:21" s="1" customFormat="1" ht="25.5" x14ac:dyDescent="0.2">
      <c r="A159" s="110" t="str">
        <f ca="1">OFFSET(PO!J$12,ROW(A159)-ROW($A$12),0)</f>
        <v>Serviço</v>
      </c>
      <c r="B159" s="112" t="str">
        <f ca="1">IF($A159=0,"",OFFSET(PO!K$12,ROW(B159)-ROW(B$12),0))</f>
        <v>1.8.0.0.47.</v>
      </c>
      <c r="C159" s="109" t="str">
        <f ca="1">IF(OFFSET(PO!N$12,ROW(C159)-ROW(C$12),0)=0,"",OFFSET(PO!N$12,ROW(C159)-ROW(C$12),0))</f>
        <v>DISJUNTOR TRIPOLAR TIPO NEMA, CORRENTE NOMINAL DE 60 ATÉ 100A - FORNECIMENTO E INSTALAÇÃO. AF_10/2020</v>
      </c>
      <c r="D159" s="111" t="str">
        <f ca="1">IF(OFFSET(PO!O$12,ROW(D159)-ROW(D$12),0)=0,"",OFFSET(PO!O$12,ROW(D159)-ROW(D$12),0))</f>
        <v>UN</v>
      </c>
      <c r="E159" s="140">
        <f ca="1">IF($A159&lt;&gt;"Serviço",0,ROUND(SUMIF($F$9:$P$9,"&lt;&gt;",$F159:$P159),15-13*PO!$X$3))</f>
        <v>1</v>
      </c>
      <c r="F159" s="361">
        <f ca="1">OFFSET(PO!$P$12,ROW($E159)-ROW(F$12),0)</f>
        <v>1</v>
      </c>
      <c r="G159" s="361"/>
      <c r="H159" s="361"/>
      <c r="I159" s="361"/>
      <c r="J159" s="361"/>
      <c r="K159" s="361"/>
      <c r="L159" s="361"/>
      <c r="M159" s="361"/>
      <c r="N159" s="361"/>
      <c r="O159" s="361"/>
      <c r="U159" s="182"/>
    </row>
    <row r="160" spans="1:21" s="1" customFormat="1" ht="38.25" x14ac:dyDescent="0.2">
      <c r="A160" s="110" t="str">
        <f ca="1">OFFSET(PO!J$12,ROW(A160)-ROW($A$12),0)</f>
        <v>Serviço</v>
      </c>
      <c r="B160" s="112" t="str">
        <f ca="1">IF($A160=0,"",OFFSET(PO!K$12,ROW(B160)-ROW(B$12),0))</f>
        <v>1.8.0.0.48.</v>
      </c>
      <c r="C160" s="109" t="str">
        <f ca="1">IF(OFFSET(PO!N$12,ROW(C160)-ROW(C$12),0)=0,"",OFFSET(PO!N$12,ROW(C160)-ROW(C$12),0))</f>
        <v xml:space="preserve">DISPOSITIVO DPS CLASSE II, 1 POLO, TENSAO MAXIMA DE 275 V, CORRENTE MAXIMA DE *45* KA (TIPO AC) - FORNECIMENTO E INSTALAÇÃO                                                                                                                                                                                                                                                                                                                                                                                                           </v>
      </c>
      <c r="D160" s="111" t="str">
        <f ca="1">IF(OFFSET(PO!O$12,ROW(D160)-ROW(D$12),0)=0,"",OFFSET(PO!O$12,ROW(D160)-ROW(D$12),0))</f>
        <v>UND</v>
      </c>
      <c r="E160" s="140">
        <f ca="1">IF($A160&lt;&gt;"Serviço",0,ROUND(SUMIF($F$9:$P$9,"&lt;&gt;",$F160:$P160),15-13*PO!$X$3))</f>
        <v>18</v>
      </c>
      <c r="F160" s="361">
        <f ca="1">OFFSET(PO!$P$12,ROW($E160)-ROW(F$12),0)</f>
        <v>18</v>
      </c>
      <c r="G160" s="361"/>
      <c r="H160" s="361"/>
      <c r="I160" s="361"/>
      <c r="J160" s="361"/>
      <c r="K160" s="361"/>
      <c r="L160" s="361"/>
      <c r="M160" s="361"/>
      <c r="N160" s="361"/>
      <c r="O160" s="361"/>
      <c r="U160" s="182"/>
    </row>
    <row r="161" spans="1:21" s="1" customFormat="1" x14ac:dyDescent="0.2">
      <c r="A161" s="110" t="str">
        <f ca="1">OFFSET(PO!J$12,ROW(A161)-ROW($A$12),0)</f>
        <v>Serviço</v>
      </c>
      <c r="B161" s="112" t="str">
        <f ca="1">IF($A161=0,"",OFFSET(PO!K$12,ROW(B161)-ROW(B$12),0))</f>
        <v>1.8.0.0.49.</v>
      </c>
      <c r="C161" s="109" t="str">
        <f ca="1">IF(OFFSET(PO!N$12,ROW(C161)-ROW(C$12),0)=0,"",OFFSET(PO!N$12,ROW(C161)-ROW(C$12),0))</f>
        <v>DISPOSITIVO DIFERENCIAL RESIDUAL BIPOLAR 25A</v>
      </c>
      <c r="D161" s="111" t="str">
        <f ca="1">IF(OFFSET(PO!O$12,ROW(D161)-ROW(D$12),0)=0,"",OFFSET(PO!O$12,ROW(D161)-ROW(D$12),0))</f>
        <v>UNID</v>
      </c>
      <c r="E161" s="140">
        <f ca="1">IF($A161&lt;&gt;"Serviço",0,ROUND(SUMIF($F$9:$P$9,"&lt;&gt;",$F161:$P161),15-13*PO!$X$3))</f>
        <v>30</v>
      </c>
      <c r="F161" s="361">
        <f ca="1">OFFSET(PO!$P$12,ROW($E161)-ROW(F$12),0)</f>
        <v>30</v>
      </c>
      <c r="G161" s="361"/>
      <c r="H161" s="361"/>
      <c r="I161" s="361"/>
      <c r="J161" s="361"/>
      <c r="K161" s="361"/>
      <c r="L161" s="361"/>
      <c r="M161" s="361"/>
      <c r="N161" s="361"/>
      <c r="O161" s="361"/>
      <c r="U161" s="182"/>
    </row>
    <row r="162" spans="1:21" s="1" customFormat="1" x14ac:dyDescent="0.2">
      <c r="A162" s="110" t="str">
        <f ca="1">OFFSET(PO!J$12,ROW(A162)-ROW($A$12),0)</f>
        <v>Serviço</v>
      </c>
      <c r="B162" s="112" t="str">
        <f ca="1">IF($A162=0,"",OFFSET(PO!K$12,ROW(B162)-ROW(B$12),0))</f>
        <v>1.8.0.0.50.</v>
      </c>
      <c r="C162" s="109" t="str">
        <f ca="1">IF(OFFSET(PO!N$12,ROW(C162)-ROW(C$12),0)=0,"",OFFSET(PO!N$12,ROW(C162)-ROW(C$12),0))</f>
        <v>DISPOSITIVO DIFERENCIAL RESIDUAL BIPOLAR 40A</v>
      </c>
      <c r="D162" s="111" t="str">
        <f ca="1">IF(OFFSET(PO!O$12,ROW(D162)-ROW(D$12),0)=0,"",OFFSET(PO!O$12,ROW(D162)-ROW(D$12),0))</f>
        <v>UNID</v>
      </c>
      <c r="E162" s="140">
        <f ca="1">IF($A162&lt;&gt;"Serviço",0,ROUND(SUMIF($F$9:$P$9,"&lt;&gt;",$F162:$P162),15-13*PO!$X$3))</f>
        <v>1</v>
      </c>
      <c r="F162" s="361">
        <f ca="1">OFFSET(PO!$P$12,ROW($E162)-ROW(F$12),0)</f>
        <v>1</v>
      </c>
      <c r="G162" s="361"/>
      <c r="H162" s="361"/>
      <c r="I162" s="361"/>
      <c r="J162" s="361"/>
      <c r="K162" s="361"/>
      <c r="L162" s="361"/>
      <c r="M162" s="361"/>
      <c r="N162" s="361"/>
      <c r="O162" s="361"/>
      <c r="U162" s="182"/>
    </row>
    <row r="163" spans="1:21" s="1" customFormat="1" ht="25.5" x14ac:dyDescent="0.2">
      <c r="A163" s="110" t="str">
        <f ca="1">OFFSET(PO!J$12,ROW(A163)-ROW($A$12),0)</f>
        <v>Serviço</v>
      </c>
      <c r="B163" s="112" t="str">
        <f ca="1">IF($A163=0,"",OFFSET(PO!K$12,ROW(B163)-ROW(B$12),0))</f>
        <v>1.8.0.0.51.</v>
      </c>
      <c r="C163" s="109" t="str">
        <f ca="1">IF(OFFSET(PO!N$12,ROW(C163)-ROW(C$12),0)=0,"",OFFSET(PO!N$12,ROW(C163)-ROW(C$12),0))</f>
        <v>HASTE DE ATERRAMENTO, DIÂMETRO 3/4", COM 3 METROS - FORNECIMENTO E INSTALAÇÃO. AF_08/2023</v>
      </c>
      <c r="D163" s="111" t="str">
        <f ca="1">IF(OFFSET(PO!O$12,ROW(D163)-ROW(D$12),0)=0,"",OFFSET(PO!O$12,ROW(D163)-ROW(D$12),0))</f>
        <v>UN</v>
      </c>
      <c r="E163" s="140">
        <f ca="1">IF($A163&lt;&gt;"Serviço",0,ROUND(SUMIF($F$9:$P$9,"&lt;&gt;",$F163:$P163),15-13*PO!$X$3))</f>
        <v>1</v>
      </c>
      <c r="F163" s="361">
        <f ca="1">OFFSET(PO!$P$12,ROW($E163)-ROW(F$12),0)</f>
        <v>1</v>
      </c>
      <c r="G163" s="361"/>
      <c r="H163" s="361"/>
      <c r="I163" s="361"/>
      <c r="J163" s="361"/>
      <c r="K163" s="361"/>
      <c r="L163" s="361"/>
      <c r="M163" s="361"/>
      <c r="N163" s="361"/>
      <c r="O163" s="361"/>
      <c r="U163" s="182"/>
    </row>
    <row r="164" spans="1:21" s="1" customFormat="1" ht="38.25" x14ac:dyDescent="0.2">
      <c r="A164" s="110" t="str">
        <f ca="1">OFFSET(PO!J$12,ROW(A164)-ROW($A$12),0)</f>
        <v>Serviço</v>
      </c>
      <c r="B164" s="112" t="str">
        <f ca="1">IF($A164=0,"",OFFSET(PO!K$12,ROW(B164)-ROW(B$12),0))</f>
        <v>1.8.0.0.52.</v>
      </c>
      <c r="C164" s="109" t="str">
        <f ca="1">IF(OFFSET(PO!N$12,ROW(C164)-ROW(C$12),0)=0,"",OFFSET(PO!N$12,ROW(C164)-ROW(C$12),0))</f>
        <v>CONECTOR METALICO TIPO PARAFUSO FENDIDO (SPLIT BOLT), COM SEPARADOR DE CABOS BIMETALICOS, PARA CABOS ATE 25 MM2</v>
      </c>
      <c r="D164" s="111" t="str">
        <f ca="1">IF(OFFSET(PO!O$12,ROW(D164)-ROW(D$12),0)=0,"",OFFSET(PO!O$12,ROW(D164)-ROW(D$12),0))</f>
        <v>UN</v>
      </c>
      <c r="E164" s="140">
        <f ca="1">IF($A164&lt;&gt;"Serviço",0,ROUND(SUMIF($F$9:$P$9,"&lt;&gt;",$F164:$P164),15-13*PO!$X$3))</f>
        <v>1</v>
      </c>
      <c r="F164" s="361">
        <f ca="1">OFFSET(PO!$P$12,ROW($E164)-ROW(F$12),0)</f>
        <v>1</v>
      </c>
      <c r="G164" s="361"/>
      <c r="H164" s="361"/>
      <c r="I164" s="361"/>
      <c r="J164" s="361"/>
      <c r="K164" s="361"/>
      <c r="L164" s="361"/>
      <c r="M164" s="361"/>
      <c r="N164" s="361"/>
      <c r="O164" s="361"/>
      <c r="U164" s="182"/>
    </row>
    <row r="165" spans="1:21" s="1" customFormat="1" ht="38.25" x14ac:dyDescent="0.2">
      <c r="A165" s="110" t="str">
        <f ca="1">OFFSET(PO!J$12,ROW(A165)-ROW($A$12),0)</f>
        <v>Serviço</v>
      </c>
      <c r="B165" s="112" t="str">
        <f ca="1">IF($A165=0,"",OFFSET(PO!K$12,ROW(B165)-ROW(B$12),0))</f>
        <v>1.8.0.0.53.</v>
      </c>
      <c r="C165" s="109" t="str">
        <f ca="1">IF(OFFSET(PO!N$12,ROW(C165)-ROW(C$12),0)=0,"",OFFSET(PO!N$12,ROW(C165)-ROW(C$12),0))</f>
        <v>CONECTOR GRAMPO METÁLICO TIPO OLHAL, PARA SPDA, PARA HASTE DE ATERRAMENTO DE 5/8'' E CABOS DE 10 A 50 MM2 - FORNECIMENTO E INSTALAÇÃO. AF_08/2023</v>
      </c>
      <c r="D165" s="111" t="str">
        <f ca="1">IF(OFFSET(PO!O$12,ROW(D165)-ROW(D$12),0)=0,"",OFFSET(PO!O$12,ROW(D165)-ROW(D$12),0))</f>
        <v>UN</v>
      </c>
      <c r="E165" s="140">
        <f ca="1">IF($A165&lt;&gt;"Serviço",0,ROUND(SUMIF($F$9:$P$9,"&lt;&gt;",$F165:$P165),15-13*PO!$X$3))</f>
        <v>3</v>
      </c>
      <c r="F165" s="361">
        <f ca="1">OFFSET(PO!$P$12,ROW($E165)-ROW(F$12),0)</f>
        <v>3</v>
      </c>
      <c r="G165" s="361"/>
      <c r="H165" s="361"/>
      <c r="I165" s="361"/>
      <c r="J165" s="361"/>
      <c r="K165" s="361"/>
      <c r="L165" s="361"/>
      <c r="M165" s="361"/>
      <c r="N165" s="361"/>
      <c r="O165" s="361"/>
      <c r="U165" s="182"/>
    </row>
    <row r="166" spans="1:21" s="1" customFormat="1" x14ac:dyDescent="0.2">
      <c r="A166" s="110" t="str">
        <f ca="1">OFFSET(PO!J$12,ROW(A166)-ROW($A$12),0)</f>
        <v>Serviço</v>
      </c>
      <c r="B166" s="112" t="str">
        <f ca="1">IF($A166=0,"",OFFSET(PO!K$12,ROW(B166)-ROW(B$12),0))</f>
        <v>1.8.0.0.54.</v>
      </c>
      <c r="C166" s="109" t="str">
        <f ca="1">IF(OFFSET(PO!N$12,ROW(C166)-ROW(C$12),0)=0,"",OFFSET(PO!N$12,ROW(C166)-ROW(C$12),0))</f>
        <v>ACO CA-50, 12,5 MM OU 16,0 MM, VERGALHAO</v>
      </c>
      <c r="D166" s="111" t="str">
        <f ca="1">IF(OFFSET(PO!O$12,ROW(D166)-ROW(D$12),0)=0,"",OFFSET(PO!O$12,ROW(D166)-ROW(D$12),0))</f>
        <v>KG</v>
      </c>
      <c r="E166" s="140">
        <f ca="1">IF($A166&lt;&gt;"Serviço",0,ROUND(SUMIF($F$9:$P$9,"&lt;&gt;",$F166:$P166),15-13*PO!$X$3))</f>
        <v>1</v>
      </c>
      <c r="F166" s="361">
        <f ca="1">OFFSET(PO!$P$12,ROW($E166)-ROW(F$12),0)</f>
        <v>1</v>
      </c>
      <c r="G166" s="361"/>
      <c r="H166" s="361"/>
      <c r="I166" s="361"/>
      <c r="J166" s="361"/>
      <c r="K166" s="361"/>
      <c r="L166" s="361"/>
      <c r="M166" s="361"/>
      <c r="N166" s="361"/>
      <c r="O166" s="361"/>
      <c r="U166" s="182"/>
    </row>
    <row r="167" spans="1:21" s="1" customFormat="1" ht="38.25" x14ac:dyDescent="0.2">
      <c r="A167" s="110" t="str">
        <f ca="1">OFFSET(PO!J$12,ROW(A167)-ROW($A$12),0)</f>
        <v>Serviço</v>
      </c>
      <c r="B167" s="112" t="str">
        <f ca="1">IF($A167=0,"",OFFSET(PO!K$12,ROW(B167)-ROW(B$12),0))</f>
        <v>1.8.0.0.55.</v>
      </c>
      <c r="C167" s="109" t="str">
        <f ca="1">IF(OFFSET(PO!N$12,ROW(C167)-ROW(C$12),0)=0,"",OFFSET(PO!N$12,ROW(C167)-ROW(C$12),0))</f>
        <v>ENTRADA DE ENERGIA TRIFÁSICA COM FIO 35MM2 E DISJUNOTR DE 100A, INSTALADA EM POSTE PARTICULAR EM CONCRETO DUPLO T 7,5M - FORNECIMENTO E INSTALAÇÃO</v>
      </c>
      <c r="D167" s="111" t="str">
        <f ca="1">IF(OFFSET(PO!O$12,ROW(D167)-ROW(D$12),0)=0,"",OFFSET(PO!O$12,ROW(D167)-ROW(D$12),0))</f>
        <v>UND</v>
      </c>
      <c r="E167" s="140">
        <f ca="1">IF($A167&lt;&gt;"Serviço",0,ROUND(SUMIF($F$9:$P$9,"&lt;&gt;",$F167:$P167),15-13*PO!$X$3))</f>
        <v>1</v>
      </c>
      <c r="F167" s="361">
        <f ca="1">OFFSET(PO!$P$12,ROW($E167)-ROW(F$12),0)</f>
        <v>1</v>
      </c>
      <c r="G167" s="361"/>
      <c r="H167" s="361"/>
      <c r="I167" s="361"/>
      <c r="J167" s="361"/>
      <c r="K167" s="361"/>
      <c r="L167" s="361"/>
      <c r="M167" s="361"/>
      <c r="N167" s="361"/>
      <c r="O167" s="361"/>
      <c r="U167" s="182"/>
    </row>
    <row r="168" spans="1:21" s="1" customFormat="1" ht="38.25" x14ac:dyDescent="0.2">
      <c r="A168" s="110" t="str">
        <f ca="1">OFFSET(PO!J$12,ROW(A168)-ROW($A$12),0)</f>
        <v>Serviço</v>
      </c>
      <c r="B168" s="112" t="str">
        <f ca="1">IF($A168=0,"",OFFSET(PO!K$12,ROW(B168)-ROW(B$12),0))</f>
        <v>1.8.0.0.56.</v>
      </c>
      <c r="C168" s="109" t="str">
        <f ca="1">IF(OFFSET(PO!N$12,ROW(C168)-ROW(C$12),0)=0,"",OFFSET(PO!N$12,ROW(C168)-ROW(C$12),0))</f>
        <v>CAIXA ENTERRADA ELÉTRICA RETANGULAR, EM ALVENARIA COM TIJOLOS CERÂMICOS MACIÇOS, FUNDO COM BRITA, DIMENSÕES INTERNAS: 0,3X0,3X0,3 M. AF_12/2020</v>
      </c>
      <c r="D168" s="111" t="str">
        <f ca="1">IF(OFFSET(PO!O$12,ROW(D168)-ROW(D$12),0)=0,"",OFFSET(PO!O$12,ROW(D168)-ROW(D$12),0))</f>
        <v>UN</v>
      </c>
      <c r="E168" s="140">
        <f ca="1">IF($A168&lt;&gt;"Serviço",0,ROUND(SUMIF($F$9:$P$9,"&lt;&gt;",$F168:$P168),15-13*PO!$X$3))</f>
        <v>3</v>
      </c>
      <c r="F168" s="361">
        <f ca="1">OFFSET(PO!$P$12,ROW($E168)-ROW(F$12),0)</f>
        <v>3</v>
      </c>
      <c r="G168" s="361"/>
      <c r="H168" s="361"/>
      <c r="I168" s="361"/>
      <c r="J168" s="361"/>
      <c r="K168" s="361"/>
      <c r="L168" s="361"/>
      <c r="M168" s="361"/>
      <c r="N168" s="361"/>
      <c r="O168" s="361"/>
      <c r="U168" s="182"/>
    </row>
    <row r="169" spans="1:21" s="1" customFormat="1" ht="25.5" x14ac:dyDescent="0.2">
      <c r="A169" s="110" t="str">
        <f ca="1">OFFSET(PO!J$12,ROW(A169)-ROW($A$12),0)</f>
        <v>Serviço</v>
      </c>
      <c r="B169" s="112" t="str">
        <f ca="1">IF($A169=0,"",OFFSET(PO!K$12,ROW(B169)-ROW(B$12),0))</f>
        <v>1.8.0.0.57.</v>
      </c>
      <c r="C169" s="109" t="str">
        <f ca="1">IF(OFFSET(PO!N$12,ROW(C169)-ROW(C$12),0)=0,"",OFFSET(PO!N$12,ROW(C169)-ROW(C$12),0))</f>
        <v>FITA SUBTERRÂNEA - "CONDUTOR ELÉTRICO ABAIXO" 7,6 CM - FORNECIMENTO E INSTALAÇÃO</v>
      </c>
      <c r="D169" s="111" t="str">
        <f ca="1">IF(OFFSET(PO!O$12,ROW(D169)-ROW(D$12),0)=0,"",OFFSET(PO!O$12,ROW(D169)-ROW(D$12),0))</f>
        <v>M</v>
      </c>
      <c r="E169" s="140">
        <f ca="1">IF($A169&lt;&gt;"Serviço",0,ROUND(SUMIF($F$9:$P$9,"&lt;&gt;",$F169:$P169),15-13*PO!$X$3))</f>
        <v>20</v>
      </c>
      <c r="F169" s="361">
        <f ca="1">OFFSET(PO!$P$12,ROW($E169)-ROW(F$12),0)</f>
        <v>20</v>
      </c>
      <c r="G169" s="361"/>
      <c r="H169" s="361"/>
      <c r="I169" s="361"/>
      <c r="J169" s="361"/>
      <c r="K169" s="361"/>
      <c r="L169" s="361"/>
      <c r="M169" s="361"/>
      <c r="N169" s="361"/>
      <c r="O169" s="361"/>
      <c r="U169" s="182"/>
    </row>
    <row r="170" spans="1:21" s="1" customFormat="1" ht="25.5" x14ac:dyDescent="0.2">
      <c r="A170" s="110" t="str">
        <f ca="1">OFFSET(PO!J$12,ROW(A170)-ROW($A$12),0)</f>
        <v>Serviço</v>
      </c>
      <c r="B170" s="112" t="str">
        <f ca="1">IF($A170=0,"",OFFSET(PO!K$12,ROW(B170)-ROW(B$12),0))</f>
        <v>1.8.0.0.58.</v>
      </c>
      <c r="C170" s="109" t="str">
        <f ca="1">IF(OFFSET(PO!N$12,ROW(C170)-ROW(C$12),0)=0,"",OFFSET(PO!N$12,ROW(C170)-ROW(C$12),0))</f>
        <v>LÂMPADA DE LED BULBO 100W ROSCA E40 - FORNECIMENTO E INSTALAÇÃO</v>
      </c>
      <c r="D170" s="111" t="str">
        <f ca="1">IF(OFFSET(PO!O$12,ROW(D170)-ROW(D$12),0)=0,"",OFFSET(PO!O$12,ROW(D170)-ROW(D$12),0))</f>
        <v>UND</v>
      </c>
      <c r="E170" s="140">
        <f ca="1">IF($A170&lt;&gt;"Serviço",0,ROUND(SUMIF($F$9:$P$9,"&lt;&gt;",$F170:$P170),15-13*PO!$X$3))</f>
        <v>20</v>
      </c>
      <c r="F170" s="361">
        <f ca="1">OFFSET(PO!$P$12,ROW($E170)-ROW(F$12),0)</f>
        <v>20</v>
      </c>
      <c r="G170" s="361"/>
      <c r="H170" s="361"/>
      <c r="I170" s="361"/>
      <c r="J170" s="361"/>
      <c r="K170" s="361"/>
      <c r="L170" s="361"/>
      <c r="M170" s="361"/>
      <c r="N170" s="361"/>
      <c r="O170" s="361"/>
      <c r="U170" s="182"/>
    </row>
    <row r="171" spans="1:21" s="1" customFormat="1" ht="25.5" x14ac:dyDescent="0.2">
      <c r="A171" s="110" t="str">
        <f ca="1">OFFSET(PO!J$12,ROW(A171)-ROW($A$12),0)</f>
        <v>Serviço</v>
      </c>
      <c r="B171" s="112" t="str">
        <f ca="1">IF($A171=0,"",OFFSET(PO!K$12,ROW(B171)-ROW(B$12),0))</f>
        <v>1.8.0.0.59.</v>
      </c>
      <c r="C171" s="109" t="str">
        <f ca="1">IF(OFFSET(PO!N$12,ROW(C171)-ROW(C$12),0)=0,"",OFFSET(PO!N$12,ROW(C171)-ROW(C$12),0))</f>
        <v>LUMINÁRIA TIPO PLAFON CIRCULAR, DE SOBREPOR, COM LED DE 12/13 W - FORNECIMENTO E INSTALAÇÃO. AF_09/2024</v>
      </c>
      <c r="D171" s="111" t="str">
        <f ca="1">IF(OFFSET(PO!O$12,ROW(D171)-ROW(D$12),0)=0,"",OFFSET(PO!O$12,ROW(D171)-ROW(D$12),0))</f>
        <v>UN</v>
      </c>
      <c r="E171" s="140">
        <f ca="1">IF($A171&lt;&gt;"Serviço",0,ROUND(SUMIF($F$9:$P$9,"&lt;&gt;",$F171:$P171),15-13*PO!$X$3))</f>
        <v>4</v>
      </c>
      <c r="F171" s="361">
        <f ca="1">OFFSET(PO!$P$12,ROW($E171)-ROW(F$12),0)</f>
        <v>4</v>
      </c>
      <c r="G171" s="361"/>
      <c r="H171" s="361"/>
      <c r="I171" s="361"/>
      <c r="J171" s="361"/>
      <c r="K171" s="361"/>
      <c r="L171" s="361"/>
      <c r="M171" s="361"/>
      <c r="N171" s="361"/>
      <c r="O171" s="361"/>
      <c r="U171" s="182"/>
    </row>
    <row r="172" spans="1:21" s="1" customFormat="1" ht="25.5" x14ac:dyDescent="0.2">
      <c r="A172" s="110" t="str">
        <f ca="1">OFFSET(PO!J$12,ROW(A172)-ROW($A$12),0)</f>
        <v>Serviço</v>
      </c>
      <c r="B172" s="112" t="str">
        <f ca="1">IF($A172=0,"",OFFSET(PO!K$12,ROW(B172)-ROW(B$12),0))</f>
        <v>1.8.0.0.60.</v>
      </c>
      <c r="C172" s="109" t="str">
        <f ca="1">IF(OFFSET(PO!N$12,ROW(C172)-ROW(C$12),0)=0,"",OFFSET(PO!N$12,ROW(C172)-ROW(C$12),0))</f>
        <v>LUMINARIA LED REFLETOR RETANGULAR BIVOLT, LUZ BRANCA, 50 W</v>
      </c>
      <c r="D172" s="111" t="str">
        <f ca="1">IF(OFFSET(PO!O$12,ROW(D172)-ROW(D$12),0)=0,"",OFFSET(PO!O$12,ROW(D172)-ROW(D$12),0))</f>
        <v>UN</v>
      </c>
      <c r="E172" s="140">
        <f ca="1">IF($A172&lt;&gt;"Serviço",0,ROUND(SUMIF($F$9:$P$9,"&lt;&gt;",$F172:$P172),15-13*PO!$X$3))</f>
        <v>8</v>
      </c>
      <c r="F172" s="361">
        <f ca="1">OFFSET(PO!$P$12,ROW($E172)-ROW(F$12),0)</f>
        <v>8</v>
      </c>
      <c r="G172" s="361"/>
      <c r="H172" s="361"/>
      <c r="I172" s="361"/>
      <c r="J172" s="361"/>
      <c r="K172" s="361"/>
      <c r="L172" s="361"/>
      <c r="M172" s="361"/>
      <c r="N172" s="361"/>
      <c r="O172" s="361"/>
      <c r="U172" s="182"/>
    </row>
    <row r="173" spans="1:21" s="1" customFormat="1" ht="25.5" x14ac:dyDescent="0.2">
      <c r="A173" s="110" t="str">
        <f ca="1">OFFSET(PO!J$12,ROW(A173)-ROW($A$12),0)</f>
        <v>Serviço</v>
      </c>
      <c r="B173" s="112" t="str">
        <f ca="1">IF($A173=0,"",OFFSET(PO!K$12,ROW(B173)-ROW(B$12),0))</f>
        <v>1.8.0.0.61.</v>
      </c>
      <c r="C173" s="109" t="str">
        <f ca="1">IF(OFFSET(PO!N$12,ROW(C173)-ROW(C$12),0)=0,"",OFFSET(PO!N$12,ROW(C173)-ROW(C$12),0))</f>
        <v>RELÉ FOTOELÉTRICO PARA COMANDO DE ILUMINAÇÃO EXTERNA 1000 W - FORNECIMENTO E INSTALAÇÃO. AF_02/2025</v>
      </c>
      <c r="D173" s="111" t="str">
        <f ca="1">IF(OFFSET(PO!O$12,ROW(D173)-ROW(D$12),0)=0,"",OFFSET(PO!O$12,ROW(D173)-ROW(D$12),0))</f>
        <v>UN</v>
      </c>
      <c r="E173" s="140">
        <f ca="1">IF($A173&lt;&gt;"Serviço",0,ROUND(SUMIF($F$9:$P$9,"&lt;&gt;",$F173:$P173),15-13*PO!$X$3))</f>
        <v>8</v>
      </c>
      <c r="F173" s="361">
        <f ca="1">OFFSET(PO!$P$12,ROW($E173)-ROW(F$12),0)</f>
        <v>8</v>
      </c>
      <c r="G173" s="361"/>
      <c r="H173" s="361"/>
      <c r="I173" s="361"/>
      <c r="J173" s="361"/>
      <c r="K173" s="361"/>
      <c r="L173" s="361"/>
      <c r="M173" s="361"/>
      <c r="N173" s="361"/>
      <c r="O173" s="361"/>
      <c r="U173" s="182"/>
    </row>
    <row r="174" spans="1:21" s="1" customFormat="1" ht="38.25" x14ac:dyDescent="0.2">
      <c r="A174" s="110" t="str">
        <f ca="1">OFFSET(PO!J$12,ROW(A174)-ROW($A$12),0)</f>
        <v>Serviço</v>
      </c>
      <c r="B174" s="112" t="str">
        <f ca="1">IF($A174=0,"",OFFSET(PO!K$12,ROW(B174)-ROW(B$12),0))</f>
        <v>1.8.0.0.62.</v>
      </c>
      <c r="C174" s="109" t="str">
        <f ca="1">IF(OFFSET(PO!N$12,ROW(C174)-ROW(C$12),0)=0,"",OFFSET(PO!N$12,ROW(C174)-ROW(C$12),0))</f>
        <v>LUMINARIA DE SOBREPOR PARA DUAS LÂMPADAS DE LED TUBULARES DE 18W - FORNECIMENTO E INSTALAÇÃO (INCLUÍDAS AS LÂMPADAS)</v>
      </c>
      <c r="D174" s="111" t="str">
        <f ca="1">IF(OFFSET(PO!O$12,ROW(D174)-ROW(D$12),0)=0,"",OFFSET(PO!O$12,ROW(D174)-ROW(D$12),0))</f>
        <v>UND</v>
      </c>
      <c r="E174" s="140">
        <f ca="1">IF($A174&lt;&gt;"Serviço",0,ROUND(SUMIF($F$9:$P$9,"&lt;&gt;",$F174:$P174),15-13*PO!$X$3))</f>
        <v>146</v>
      </c>
      <c r="F174" s="361">
        <f ca="1">OFFSET(PO!$P$12,ROW($E174)-ROW(F$12),0)</f>
        <v>146</v>
      </c>
      <c r="G174" s="361"/>
      <c r="H174" s="361"/>
      <c r="I174" s="361"/>
      <c r="J174" s="361"/>
      <c r="K174" s="361"/>
      <c r="L174" s="361"/>
      <c r="M174" s="361"/>
      <c r="N174" s="361"/>
      <c r="O174" s="361"/>
      <c r="U174" s="182"/>
    </row>
    <row r="175" spans="1:21" s="1" customFormat="1" ht="38.25" x14ac:dyDescent="0.2">
      <c r="A175" s="110" t="str">
        <f ca="1">OFFSET(PO!J$12,ROW(A175)-ROW($A$12),0)</f>
        <v>Serviço</v>
      </c>
      <c r="B175" s="112" t="str">
        <f ca="1">IF($A175=0,"",OFFSET(PO!K$12,ROW(B175)-ROW(B$12),0))</f>
        <v>1.8.0.0.63.</v>
      </c>
      <c r="C175" s="109" t="str">
        <f ca="1">IF(OFFSET(PO!N$12,ROW(C175)-ROW(C$12),0)=0,"",OFFSET(PO!N$12,ROW(C175)-ROW(C$12),0))</f>
        <v>REMOÇÃO DE CABOS ELÉTRICOS, COM SEÇÃO MAIOR QUE 2,5 MM² E MENOR QUE 10 MM², DE FORMA MANUAL, SEM REAPROVEITAMENTO. AF_09/2023</v>
      </c>
      <c r="D175" s="111" t="str">
        <f ca="1">IF(OFFSET(PO!O$12,ROW(D175)-ROW(D$12),0)=0,"",OFFSET(PO!O$12,ROW(D175)-ROW(D$12),0))</f>
        <v>M</v>
      </c>
      <c r="E175" s="140">
        <f ca="1">IF($A175&lt;&gt;"Serviço",0,ROUND(SUMIF($F$9:$P$9,"&lt;&gt;",$F175:$P175),15-13*PO!$X$3))</f>
        <v>2300</v>
      </c>
      <c r="F175" s="361">
        <f ca="1">OFFSET(PO!$P$12,ROW($E175)-ROW(F$12),0)</f>
        <v>2300</v>
      </c>
      <c r="G175" s="361"/>
      <c r="H175" s="361"/>
      <c r="I175" s="361"/>
      <c r="J175" s="361"/>
      <c r="K175" s="361"/>
      <c r="L175" s="361"/>
      <c r="M175" s="361"/>
      <c r="N175" s="361"/>
      <c r="O175" s="361"/>
      <c r="U175" s="182"/>
    </row>
    <row r="176" spans="1:21" s="1" customFormat="1" ht="25.5" x14ac:dyDescent="0.2">
      <c r="A176" s="110" t="str">
        <f ca="1">OFFSET(PO!J$12,ROW(A176)-ROW($A$12),0)</f>
        <v>Serviço</v>
      </c>
      <c r="B176" s="112" t="str">
        <f ca="1">IF($A176=0,"",OFFSET(PO!K$12,ROW(B176)-ROW(B$12),0))</f>
        <v>1.8.0.0.64.</v>
      </c>
      <c r="C176" s="109" t="str">
        <f ca="1">IF(OFFSET(PO!N$12,ROW(C176)-ROW(C$12),0)=0,"",OFFSET(PO!N$12,ROW(C176)-ROW(C$12),0))</f>
        <v>REMOÇÃO DE INTERRUPTORES/TOMADAS ELÉTRICAS, DE FORMA MANUAL, SEM REAPROVEITAMENTO. AF_09/2023</v>
      </c>
      <c r="D176" s="111" t="str">
        <f ca="1">IF(OFFSET(PO!O$12,ROW(D176)-ROW(D$12),0)=0,"",OFFSET(PO!O$12,ROW(D176)-ROW(D$12),0))</f>
        <v>UN</v>
      </c>
      <c r="E176" s="140">
        <f ca="1">IF($A176&lt;&gt;"Serviço",0,ROUND(SUMIF($F$9:$P$9,"&lt;&gt;",$F176:$P176),15-13*PO!$X$3))</f>
        <v>120</v>
      </c>
      <c r="F176" s="361">
        <f ca="1">OFFSET(PO!$P$12,ROW($E176)-ROW(F$12),0)</f>
        <v>120</v>
      </c>
      <c r="G176" s="361"/>
      <c r="H176" s="361"/>
      <c r="I176" s="361"/>
      <c r="J176" s="361"/>
      <c r="K176" s="361"/>
      <c r="L176" s="361"/>
      <c r="M176" s="361"/>
      <c r="N176" s="361"/>
      <c r="O176" s="361"/>
      <c r="U176" s="182"/>
    </row>
    <row r="177" spans="1:21" s="1" customFormat="1" ht="25.5" x14ac:dyDescent="0.2">
      <c r="A177" s="110" t="str">
        <f ca="1">OFFSET(PO!J$12,ROW(A177)-ROW($A$12),0)</f>
        <v>Serviço</v>
      </c>
      <c r="B177" s="112" t="str">
        <f ca="1">IF($A177=0,"",OFFSET(PO!K$12,ROW(B177)-ROW(B$12),0))</f>
        <v>1.8.0.0.65.</v>
      </c>
      <c r="C177" s="109" t="str">
        <f ca="1">IF(OFFSET(PO!N$12,ROW(C177)-ROW(C$12),0)=0,"",OFFSET(PO!N$12,ROW(C177)-ROW(C$12),0))</f>
        <v>REMOÇÃO DE LUMINÁRIAS, DE FORMA MANUAL, SEM REAPROVEITAMENTO. AF_09/2023</v>
      </c>
      <c r="D177" s="111" t="str">
        <f ca="1">IF(OFFSET(PO!O$12,ROW(D177)-ROW(D$12),0)=0,"",OFFSET(PO!O$12,ROW(D177)-ROW(D$12),0))</f>
        <v>UN</v>
      </c>
      <c r="E177" s="140">
        <f ca="1">IF($A177&lt;&gt;"Serviço",0,ROUND(SUMIF($F$9:$P$9,"&lt;&gt;",$F177:$P177),15-13*PO!$X$3))</f>
        <v>150</v>
      </c>
      <c r="F177" s="361">
        <f ca="1">OFFSET(PO!$P$12,ROW($E177)-ROW(F$12),0)</f>
        <v>150</v>
      </c>
      <c r="G177" s="361"/>
      <c r="H177" s="361"/>
      <c r="I177" s="361"/>
      <c r="J177" s="361"/>
      <c r="K177" s="361"/>
      <c r="L177" s="361"/>
      <c r="M177" s="361"/>
      <c r="N177" s="361"/>
      <c r="O177" s="361"/>
      <c r="U177" s="182"/>
    </row>
    <row r="178" spans="1:21" s="1" customFormat="1" x14ac:dyDescent="0.2">
      <c r="A178" s="110" t="str">
        <f ca="1">OFFSET(PO!J$12,ROW(A178)-ROW($A$12),0)</f>
        <v>Serviço</v>
      </c>
      <c r="B178" s="112" t="str">
        <f ca="1">IF($A178=0,"",OFFSET(PO!K$12,ROW(B178)-ROW(B$12),0))</f>
        <v>1.8.0.0.66.</v>
      </c>
      <c r="C178" s="109" t="str">
        <f ca="1">IF(OFFSET(PO!N$12,ROW(C178)-ROW(C$12),0)=0,"",OFFSET(PO!N$12,ROW(C178)-ROW(C$12),0))</f>
        <v>ELETRICISTA COM ENCARGOS COMPLEMENTARES</v>
      </c>
      <c r="D178" s="111" t="str">
        <f ca="1">IF(OFFSET(PO!O$12,ROW(D178)-ROW(D$12),0)=0,"",OFFSET(PO!O$12,ROW(D178)-ROW(D$12),0))</f>
        <v>H</v>
      </c>
      <c r="E178" s="140">
        <f ca="1">IF($A178&lt;&gt;"Serviço",0,ROUND(SUMIF($F$9:$P$9,"&lt;&gt;",$F178:$P178),15-13*PO!$X$3))</f>
        <v>24</v>
      </c>
      <c r="F178" s="361">
        <f ca="1">OFFSET(PO!$P$12,ROW($E178)-ROW(F$12),0)</f>
        <v>24</v>
      </c>
      <c r="G178" s="361"/>
      <c r="H178" s="361"/>
      <c r="I178" s="361"/>
      <c r="J178" s="361"/>
      <c r="K178" s="361"/>
      <c r="L178" s="361"/>
      <c r="M178" s="361"/>
      <c r="N178" s="361"/>
      <c r="O178" s="361"/>
      <c r="U178" s="182"/>
    </row>
    <row r="179" spans="1:21" s="1" customFormat="1" ht="25.5" x14ac:dyDescent="0.2">
      <c r="A179" s="110" t="str">
        <f ca="1">OFFSET(PO!J$12,ROW(A179)-ROW($A$12),0)</f>
        <v>Serviço</v>
      </c>
      <c r="B179" s="112" t="str">
        <f ca="1">IF($A179=0,"",OFFSET(PO!K$12,ROW(B179)-ROW(B$12),0))</f>
        <v>1.8.0.0.67.</v>
      </c>
      <c r="C179" s="109" t="str">
        <f ca="1">IF(OFFSET(PO!N$12,ROW(C179)-ROW(C$12),0)=0,"",OFFSET(PO!N$12,ROW(C179)-ROW(C$12),0))</f>
        <v>AUXILIAR DE ELETRICISTA COM ENCARGOS COMPLEMENTARES</v>
      </c>
      <c r="D179" s="111" t="str">
        <f ca="1">IF(OFFSET(PO!O$12,ROW(D179)-ROW(D$12),0)=0,"",OFFSET(PO!O$12,ROW(D179)-ROW(D$12),0))</f>
        <v>H</v>
      </c>
      <c r="E179" s="140">
        <f ca="1">IF($A179&lt;&gt;"Serviço",0,ROUND(SUMIF($F$9:$P$9,"&lt;&gt;",$F179:$P179),15-13*PO!$X$3))</f>
        <v>24</v>
      </c>
      <c r="F179" s="361">
        <f ca="1">OFFSET(PO!$P$12,ROW($E179)-ROW(F$12),0)</f>
        <v>24</v>
      </c>
      <c r="G179" s="361"/>
      <c r="H179" s="361"/>
      <c r="I179" s="361"/>
      <c r="J179" s="361"/>
      <c r="K179" s="361"/>
      <c r="L179" s="361"/>
      <c r="M179" s="361"/>
      <c r="N179" s="361"/>
      <c r="O179" s="361"/>
      <c r="U179" s="182"/>
    </row>
    <row r="180" spans="1:21" s="1" customFormat="1" ht="25.5" x14ac:dyDescent="0.2">
      <c r="A180" s="110" t="str">
        <f ca="1">OFFSET(PO!J$12,ROW(A180)-ROW($A$12),0)</f>
        <v>Serviço</v>
      </c>
      <c r="B180" s="112" t="str">
        <f ca="1">IF($A180=0,"",OFFSET(PO!K$12,ROW(B180)-ROW(B$12),0))</f>
        <v>1.8.0.0.68.</v>
      </c>
      <c r="C180" s="109" t="str">
        <f ca="1">IF(OFFSET(PO!N$12,ROW(C180)-ROW(C$12),0)=0,"",OFFSET(PO!N$12,ROW(C180)-ROW(C$12),0))</f>
        <v>TOMADA DE REDE RJ45 - FORNECIMENTO E INSTALAÇÃO. AF_11/2019</v>
      </c>
      <c r="D180" s="111" t="str">
        <f ca="1">IF(OFFSET(PO!O$12,ROW(D180)-ROW(D$12),0)=0,"",OFFSET(PO!O$12,ROW(D180)-ROW(D$12),0))</f>
        <v>UN</v>
      </c>
      <c r="E180" s="140">
        <f ca="1">IF($A180&lt;&gt;"Serviço",0,ROUND(SUMIF($F$9:$P$9,"&lt;&gt;",$F180:$P180),15-13*PO!$X$3))</f>
        <v>56</v>
      </c>
      <c r="F180" s="361">
        <f ca="1">OFFSET(PO!$P$12,ROW($E180)-ROW(F$12),0)</f>
        <v>56</v>
      </c>
      <c r="G180" s="361"/>
      <c r="H180" s="361"/>
      <c r="I180" s="361"/>
      <c r="J180" s="361"/>
      <c r="K180" s="361"/>
      <c r="L180" s="361"/>
      <c r="M180" s="361"/>
      <c r="N180" s="361"/>
      <c r="O180" s="361"/>
      <c r="U180" s="182"/>
    </row>
    <row r="181" spans="1:21" s="1" customFormat="1" ht="25.5" x14ac:dyDescent="0.2">
      <c r="A181" s="110" t="str">
        <f ca="1">OFFSET(PO!J$12,ROW(A181)-ROW($A$12),0)</f>
        <v>Serviço</v>
      </c>
      <c r="B181" s="112" t="str">
        <f ca="1">IF($A181=0,"",OFFSET(PO!K$12,ROW(B181)-ROW(B$12),0))</f>
        <v>1.8.0.0.69.</v>
      </c>
      <c r="C181" s="109" t="str">
        <f ca="1">IF(OFFSET(PO!N$12,ROW(C181)-ROW(C$12),0)=0,"",OFFSET(PO!N$12,ROW(C181)-ROW(C$12),0))</f>
        <v>CONECTOR MACHO RJ 45, CATEGORIA 5 E (CAT 5E) PARA CABOS</v>
      </c>
      <c r="D181" s="111" t="str">
        <f ca="1">IF(OFFSET(PO!O$12,ROW(D181)-ROW(D$12),0)=0,"",OFFSET(PO!O$12,ROW(D181)-ROW(D$12),0))</f>
        <v>UN</v>
      </c>
      <c r="E181" s="140">
        <f ca="1">IF($A181&lt;&gt;"Serviço",0,ROUND(SUMIF($F$9:$P$9,"&lt;&gt;",$F181:$P181),15-13*PO!$X$3))</f>
        <v>56</v>
      </c>
      <c r="F181" s="361">
        <f ca="1">OFFSET(PO!$P$12,ROW($E181)-ROW(F$12),0)</f>
        <v>56</v>
      </c>
      <c r="G181" s="361"/>
      <c r="H181" s="361"/>
      <c r="I181" s="361"/>
      <c r="J181" s="361"/>
      <c r="K181" s="361"/>
      <c r="L181" s="361"/>
      <c r="M181" s="361"/>
      <c r="N181" s="361"/>
      <c r="O181" s="361"/>
      <c r="U181" s="182"/>
    </row>
    <row r="182" spans="1:21" s="1" customFormat="1" ht="38.25" x14ac:dyDescent="0.2">
      <c r="A182" s="110" t="str">
        <f ca="1">OFFSET(PO!J$12,ROW(A182)-ROW($A$12),0)</f>
        <v>Serviço</v>
      </c>
      <c r="B182" s="112" t="str">
        <f ca="1">IF($A182=0,"",OFFSET(PO!K$12,ROW(B182)-ROW(B$12),0))</f>
        <v>1.8.0.0.70.</v>
      </c>
      <c r="C182" s="109" t="str">
        <f ca="1">IF(OFFSET(PO!N$12,ROW(C182)-ROW(C$12),0)=0,"",OFFSET(PO!N$12,ROW(C182)-ROW(C$12),0))</f>
        <v>CABO ELETRÔNICO CATEGORIA 5E, INSTALADO EM EDIFICAÇÃO INSTITUCIONAL - FORNECIMENTO E INSTALAÇÃO. AF_11/2019</v>
      </c>
      <c r="D182" s="111" t="str">
        <f ca="1">IF(OFFSET(PO!O$12,ROW(D182)-ROW(D$12),0)=0,"",OFFSET(PO!O$12,ROW(D182)-ROW(D$12),0))</f>
        <v>M</v>
      </c>
      <c r="E182" s="140">
        <f ca="1">IF($A182&lt;&gt;"Serviço",0,ROUND(SUMIF($F$9:$P$9,"&lt;&gt;",$F182:$P182),15-13*PO!$X$3))</f>
        <v>2200</v>
      </c>
      <c r="F182" s="361">
        <f ca="1">OFFSET(PO!$P$12,ROW($E182)-ROW(F$12),0)</f>
        <v>2200</v>
      </c>
      <c r="G182" s="361"/>
      <c r="H182" s="361"/>
      <c r="I182" s="361"/>
      <c r="J182" s="361"/>
      <c r="K182" s="361"/>
      <c r="L182" s="361"/>
      <c r="M182" s="361"/>
      <c r="N182" s="361"/>
      <c r="O182" s="361"/>
      <c r="U182" s="182"/>
    </row>
    <row r="183" spans="1:21" s="1" customFormat="1" ht="38.25" x14ac:dyDescent="0.2">
      <c r="A183" s="110" t="str">
        <f ca="1">OFFSET(PO!J$12,ROW(A183)-ROW($A$12),0)</f>
        <v>Serviço</v>
      </c>
      <c r="B183" s="112" t="str">
        <f ca="1">IF($A183=0,"",OFFSET(PO!K$12,ROW(B183)-ROW(B$12),0))</f>
        <v>1.8.0.0.71.</v>
      </c>
      <c r="C183" s="109" t="str">
        <f ca="1">IF(OFFSET(PO!N$12,ROW(C183)-ROW(C$12),0)=0,"",OFFSET(PO!N$12,ROW(C183)-ROW(C$12),0))</f>
        <v>CAIXA DE PASSAGEM ELETRICA DE PAREDE, DE EMBUTIR, EM PVC, COM TAMPA APARAFUSADA, DIMENSOES 200 X 200 X *90* MM</v>
      </c>
      <c r="D183" s="111" t="str">
        <f ca="1">IF(OFFSET(PO!O$12,ROW(D183)-ROW(D$12),0)=0,"",OFFSET(PO!O$12,ROW(D183)-ROW(D$12),0))</f>
        <v>UN</v>
      </c>
      <c r="E183" s="140">
        <f ca="1">IF($A183&lt;&gt;"Serviço",0,ROUND(SUMIF($F$9:$P$9,"&lt;&gt;",$F183:$P183),15-13*PO!$X$3))</f>
        <v>1</v>
      </c>
      <c r="F183" s="361">
        <f ca="1">OFFSET(PO!$P$12,ROW($E183)-ROW(F$12),0)</f>
        <v>1</v>
      </c>
      <c r="G183" s="361"/>
      <c r="H183" s="361"/>
      <c r="I183" s="361"/>
      <c r="J183" s="361"/>
      <c r="K183" s="361"/>
      <c r="L183" s="361"/>
      <c r="M183" s="361"/>
      <c r="N183" s="361"/>
      <c r="O183" s="361"/>
      <c r="U183" s="182"/>
    </row>
    <row r="184" spans="1:21" s="1" customFormat="1" x14ac:dyDescent="0.2">
      <c r="A184" s="110" t="str">
        <f ca="1">OFFSET(PO!J$12,ROW(A184)-ROW($A$12),0)</f>
        <v>Serviço</v>
      </c>
      <c r="B184" s="112" t="str">
        <f ca="1">IF($A184=0,"",OFFSET(PO!K$12,ROW(B184)-ROW(B$12),0))</f>
        <v>1.8.0.0.72.</v>
      </c>
      <c r="C184" s="109" t="str">
        <f ca="1">IF(OFFSET(PO!N$12,ROW(C184)-ROW(C$12),0)=0,"",OFFSET(PO!N$12,ROW(C184)-ROW(C$12),0))</f>
        <v>RACK DE INFORMATICA 16U</v>
      </c>
      <c r="D184" s="111" t="str">
        <f ca="1">IF(OFFSET(PO!O$12,ROW(D184)-ROW(D$12),0)=0,"",OFFSET(PO!O$12,ROW(D184)-ROW(D$12),0))</f>
        <v>UND</v>
      </c>
      <c r="E184" s="140">
        <f ca="1">IF($A184&lt;&gt;"Serviço",0,ROUND(SUMIF($F$9:$P$9,"&lt;&gt;",$F184:$P184),15-13*PO!$X$3))</f>
        <v>1</v>
      </c>
      <c r="F184" s="361">
        <f ca="1">OFFSET(PO!$P$12,ROW($E184)-ROW(F$12),0)</f>
        <v>1</v>
      </c>
      <c r="G184" s="361"/>
      <c r="H184" s="361"/>
      <c r="I184" s="361"/>
      <c r="J184" s="361"/>
      <c r="K184" s="361"/>
      <c r="L184" s="361"/>
      <c r="M184" s="361"/>
      <c r="N184" s="361"/>
      <c r="O184" s="361"/>
      <c r="U184" s="182"/>
    </row>
    <row r="185" spans="1:21" s="1" customFormat="1" ht="25.5" x14ac:dyDescent="0.2">
      <c r="A185" s="110" t="str">
        <f ca="1">OFFSET(PO!J$12,ROW(A185)-ROW($A$12),0)</f>
        <v>Serviço</v>
      </c>
      <c r="B185" s="112" t="str">
        <f ca="1">IF($A185=0,"",OFFSET(PO!K$12,ROW(B185)-ROW(B$12),0))</f>
        <v>1.8.0.0.73.</v>
      </c>
      <c r="C185" s="109" t="str">
        <f ca="1">IF(OFFSET(PO!N$12,ROW(C185)-ROW(C$12),0)=0,"",OFFSET(PO!N$12,ROW(C185)-ROW(C$12),0))</f>
        <v>CABO HDMI 10M - FORNECIMENTO E INSTALAÇÃO NAS SALAS DE AULA</v>
      </c>
      <c r="D185" s="111" t="str">
        <f ca="1">IF(OFFSET(PO!O$12,ROW(D185)-ROW(D$12),0)=0,"",OFFSET(PO!O$12,ROW(D185)-ROW(D$12),0))</f>
        <v>UND</v>
      </c>
      <c r="E185" s="140">
        <f ca="1">IF($A185&lt;&gt;"Serviço",0,ROUND(SUMIF($F$9:$P$9,"&lt;&gt;",$F185:$P185),15-13*PO!$X$3))</f>
        <v>15</v>
      </c>
      <c r="F185" s="361">
        <f ca="1">OFFSET(PO!$P$12,ROW($E185)-ROW(F$12),0)</f>
        <v>15</v>
      </c>
      <c r="G185" s="361"/>
      <c r="H185" s="361"/>
      <c r="I185" s="361"/>
      <c r="J185" s="361"/>
      <c r="K185" s="361"/>
      <c r="L185" s="361"/>
      <c r="M185" s="361"/>
      <c r="N185" s="361"/>
      <c r="O185" s="361"/>
      <c r="U185" s="182"/>
    </row>
    <row r="186" spans="1:21" s="1" customFormat="1" ht="25.5" x14ac:dyDescent="0.2">
      <c r="A186" s="110" t="str">
        <f ca="1">OFFSET(PO!J$12,ROW(A186)-ROW($A$12),0)</f>
        <v>Serviço</v>
      </c>
      <c r="B186" s="112" t="str">
        <f ca="1">IF($A186=0,"",OFFSET(PO!K$12,ROW(B186)-ROW(B$12),0))</f>
        <v>1.8.0.0.74.</v>
      </c>
      <c r="C186" s="109" t="str">
        <f ca="1">IF(OFFSET(PO!N$12,ROW(C186)-ROW(C$12),0)=0,"",OFFSET(PO!N$12,ROW(C186)-ROW(C$12),0))</f>
        <v>ENGENHEIRO CIVIL DE OBRA JUNIOR COM ENCARGOS COMPLEMENTARES</v>
      </c>
      <c r="D186" s="111" t="str">
        <f ca="1">IF(OFFSET(PO!O$12,ROW(D186)-ROW(D$12),0)=0,"",OFFSET(PO!O$12,ROW(D186)-ROW(D$12),0))</f>
        <v>H</v>
      </c>
      <c r="E186" s="140">
        <f ca="1">IF($A186&lt;&gt;"Serviço",0,ROUND(SUMIF($F$9:$P$9,"&lt;&gt;",$F186:$P186),15-13*PO!$X$3))</f>
        <v>40</v>
      </c>
      <c r="F186" s="361">
        <f ca="1">OFFSET(PO!$P$12,ROW($E186)-ROW(F$12),0)</f>
        <v>40</v>
      </c>
      <c r="G186" s="361"/>
      <c r="H186" s="361"/>
      <c r="I186" s="361"/>
      <c r="J186" s="361"/>
      <c r="K186" s="361"/>
      <c r="L186" s="361"/>
      <c r="M186" s="361"/>
      <c r="N186" s="361"/>
      <c r="O186" s="361"/>
      <c r="U186" s="182"/>
    </row>
    <row r="187" spans="1:21" s="1" customFormat="1" x14ac:dyDescent="0.2">
      <c r="A187" s="110" t="str">
        <f ca="1">OFFSET(PO!J$12,ROW(A187)-ROW($A$12),0)</f>
        <v>Nível 2</v>
      </c>
      <c r="B187" s="112" t="str">
        <f ca="1">IF($A187=0,"",OFFSET(PO!K$12,ROW(B187)-ROW(B$12),0))</f>
        <v>1.9.</v>
      </c>
      <c r="C187" s="109" t="str">
        <f ca="1">IF(OFFSET(PO!N$12,ROW(C187)-ROW(C$12),0)=0,"",OFFSET(PO!N$12,ROW(C187)-ROW(C$12),0))</f>
        <v>REFORMA DOS BANHEIROS</v>
      </c>
      <c r="D187" s="111" t="str">
        <f ca="1">IF(OFFSET(PO!O$12,ROW(D187)-ROW(D$12),0)=0,"",OFFSET(PO!O$12,ROW(D187)-ROW(D$12),0))</f>
        <v/>
      </c>
      <c r="E187" s="140">
        <f ca="1">IF($A187&lt;&gt;"Serviço",0,ROUND(SUMIF($F$9:$P$9,"&lt;&gt;",$F187:$P187),15-13*PO!$X$3))</f>
        <v>0</v>
      </c>
      <c r="F187" s="361">
        <f ca="1">OFFSET(PO!$P$12,ROW($E187)-ROW(F$12),0)</f>
        <v>0</v>
      </c>
      <c r="G187" s="361"/>
      <c r="H187" s="361"/>
      <c r="I187" s="361"/>
      <c r="J187" s="361"/>
      <c r="K187" s="361"/>
      <c r="L187" s="361"/>
      <c r="M187" s="361"/>
      <c r="N187" s="361"/>
      <c r="O187" s="361"/>
      <c r="U187" s="182"/>
    </row>
    <row r="188" spans="1:21" s="1" customFormat="1" x14ac:dyDescent="0.2">
      <c r="A188" s="110" t="str">
        <f ca="1">OFFSET(PO!J$12,ROW(A188)-ROW($A$12),0)</f>
        <v>Nível 3</v>
      </c>
      <c r="B188" s="112" t="str">
        <f ca="1">IF($A188=0,"",OFFSET(PO!K$12,ROW(B188)-ROW(B$12),0))</f>
        <v>1.9.1.</v>
      </c>
      <c r="C188" s="109" t="str">
        <f ca="1">IF(OFFSET(PO!N$12,ROW(C188)-ROW(C$12),0)=0,"",OFFSET(PO!N$12,ROW(C188)-ROW(C$12),0))</f>
        <v>Demolições e remoções</v>
      </c>
      <c r="D188" s="111" t="str">
        <f ca="1">IF(OFFSET(PO!O$12,ROW(D188)-ROW(D$12),0)=0,"",OFFSET(PO!O$12,ROW(D188)-ROW(D$12),0))</f>
        <v/>
      </c>
      <c r="E188" s="140">
        <f ca="1">IF($A188&lt;&gt;"Serviço",0,ROUND(SUMIF($F$9:$P$9,"&lt;&gt;",$F188:$P188),15-13*PO!$X$3))</f>
        <v>0</v>
      </c>
      <c r="F188" s="361">
        <f ca="1">OFFSET(PO!$P$12,ROW($E188)-ROW(F$12),0)</f>
        <v>0</v>
      </c>
      <c r="G188" s="361"/>
      <c r="H188" s="361"/>
      <c r="I188" s="361"/>
      <c r="J188" s="361"/>
      <c r="K188" s="361"/>
      <c r="L188" s="361"/>
      <c r="M188" s="361"/>
      <c r="N188" s="361"/>
      <c r="O188" s="361"/>
      <c r="U188" s="182"/>
    </row>
    <row r="189" spans="1:21" s="1" customFormat="1" ht="25.5" x14ac:dyDescent="0.2">
      <c r="A189" s="110" t="str">
        <f ca="1">OFFSET(PO!J$12,ROW(A189)-ROW($A$12),0)</f>
        <v>Serviço</v>
      </c>
      <c r="B189" s="112" t="str">
        <f ca="1">IF($A189=0,"",OFFSET(PO!K$12,ROW(B189)-ROW(B$12),0))</f>
        <v>1.9.1.0.1.</v>
      </c>
      <c r="C189" s="109" t="str">
        <f ca="1">IF(OFFSET(PO!N$12,ROW(C189)-ROW(C$12),0)=0,"",OFFSET(PO!N$12,ROW(C189)-ROW(C$12),0))</f>
        <v>REMOÇÃO DE JANELAS, DE FORMA MANUAL, COM CONSERTO DE REQUADROS, PARA REINSTALAÇÃO</v>
      </c>
      <c r="D189" s="111" t="str">
        <f ca="1">IF(OFFSET(PO!O$12,ROW(D189)-ROW(D$12),0)=0,"",OFFSET(PO!O$12,ROW(D189)-ROW(D$12),0))</f>
        <v>M2</v>
      </c>
      <c r="E189" s="140">
        <f ca="1">IF($A189&lt;&gt;"Serviço",0,ROUND(SUMIF($F$9:$P$9,"&lt;&gt;",$F189:$P189),15-13*PO!$X$3))</f>
        <v>2.8</v>
      </c>
      <c r="F189" s="361">
        <f ca="1">OFFSET(PO!$P$12,ROW($E189)-ROW(F$12),0)</f>
        <v>2.8</v>
      </c>
      <c r="G189" s="361"/>
      <c r="H189" s="361"/>
      <c r="I189" s="361"/>
      <c r="J189" s="361"/>
      <c r="K189" s="361"/>
      <c r="L189" s="361"/>
      <c r="M189" s="361"/>
      <c r="N189" s="361"/>
      <c r="O189" s="361"/>
      <c r="U189" s="182"/>
    </row>
    <row r="190" spans="1:21" s="1" customFormat="1" ht="25.5" x14ac:dyDescent="0.2">
      <c r="A190" s="110" t="str">
        <f ca="1">OFFSET(PO!J$12,ROW(A190)-ROW($A$12),0)</f>
        <v>Serviço</v>
      </c>
      <c r="B190" s="112" t="str">
        <f ca="1">IF($A190=0,"",OFFSET(PO!K$12,ROW(B190)-ROW(B$12),0))</f>
        <v>1.9.1.0.2.</v>
      </c>
      <c r="C190" s="109" t="str">
        <f ca="1">IF(OFFSET(PO!N$12,ROW(C190)-ROW(C$12),0)=0,"",OFFSET(PO!N$12,ROW(C190)-ROW(C$12),0))</f>
        <v>REMOÇÃO DE PORTAS, DE FORMA MANUAL, SEM REAPROVEITAMENTO. AF_09/2023</v>
      </c>
      <c r="D190" s="111" t="str">
        <f ca="1">IF(OFFSET(PO!O$12,ROW(D190)-ROW(D$12),0)=0,"",OFFSET(PO!O$12,ROW(D190)-ROW(D$12),0))</f>
        <v>M2</v>
      </c>
      <c r="E190" s="140">
        <f ca="1">IF($A190&lt;&gt;"Serviço",0,ROUND(SUMIF($F$9:$P$9,"&lt;&gt;",$F190:$P190),15-13*PO!$X$3))</f>
        <v>15.36</v>
      </c>
      <c r="F190" s="361">
        <f ca="1">OFFSET(PO!$P$12,ROW($E190)-ROW(F$12),0)</f>
        <v>15.36</v>
      </c>
      <c r="G190" s="361"/>
      <c r="H190" s="361"/>
      <c r="I190" s="361"/>
      <c r="J190" s="361"/>
      <c r="K190" s="361"/>
      <c r="L190" s="361"/>
      <c r="M190" s="361"/>
      <c r="N190" s="361"/>
      <c r="O190" s="361"/>
      <c r="U190" s="182"/>
    </row>
    <row r="191" spans="1:21" s="1" customFormat="1" x14ac:dyDescent="0.2">
      <c r="A191" s="110" t="str">
        <f ca="1">OFFSET(PO!J$12,ROW(A191)-ROW($A$12),0)</f>
        <v>Serviço</v>
      </c>
      <c r="B191" s="112" t="str">
        <f ca="1">IF($A191=0,"",OFFSET(PO!K$12,ROW(B191)-ROW(B$12),0))</f>
        <v>1.9.1.0.3.</v>
      </c>
      <c r="C191" s="109" t="str">
        <f ca="1">IF(OFFSET(PO!N$12,ROW(C191)-ROW(C$12),0)=0,"",OFFSET(PO!N$12,ROW(C191)-ROW(C$12),0))</f>
        <v>REMOÇÃO DE LOUÇAS DE FORMA MANUAL</v>
      </c>
      <c r="D191" s="111" t="str">
        <f ca="1">IF(OFFSET(PO!O$12,ROW(D191)-ROW(D$12),0)=0,"",OFFSET(PO!O$12,ROW(D191)-ROW(D$12),0))</f>
        <v>UN</v>
      </c>
      <c r="E191" s="140">
        <f ca="1">IF($A191&lt;&gt;"Serviço",0,ROUND(SUMIF($F$9:$P$9,"&lt;&gt;",$F191:$P191),15-13*PO!$X$3))</f>
        <v>8</v>
      </c>
      <c r="F191" s="361">
        <f ca="1">OFFSET(PO!$P$12,ROW($E191)-ROW(F$12),0)</f>
        <v>8</v>
      </c>
      <c r="G191" s="361"/>
      <c r="H191" s="361"/>
      <c r="I191" s="361"/>
      <c r="J191" s="361"/>
      <c r="K191" s="361"/>
      <c r="L191" s="361"/>
      <c r="M191" s="361"/>
      <c r="N191" s="361"/>
      <c r="O191" s="361"/>
      <c r="U191" s="182"/>
    </row>
    <row r="192" spans="1:21" s="1" customFormat="1" ht="25.5" x14ac:dyDescent="0.2">
      <c r="A192" s="110" t="str">
        <f ca="1">OFFSET(PO!J$12,ROW(A192)-ROW($A$12),0)</f>
        <v>Serviço</v>
      </c>
      <c r="B192" s="112" t="str">
        <f ca="1">IF($A192=0,"",OFFSET(PO!K$12,ROW(B192)-ROW(B$12),0))</f>
        <v>1.9.1.0.4.</v>
      </c>
      <c r="C192" s="109" t="str">
        <f ca="1">IF(OFFSET(PO!N$12,ROW(C192)-ROW(C$12),0)=0,"",OFFSET(PO!N$12,ROW(C192)-ROW(C$12),0))</f>
        <v>REMOÇÃO E REINSTALAÇÃO DE BANCADAS EM GRANITO POLIDO COM NOVOS SUPORTES</v>
      </c>
      <c r="D192" s="111" t="str">
        <f ca="1">IF(OFFSET(PO!O$12,ROW(D192)-ROW(D$12),0)=0,"",OFFSET(PO!O$12,ROW(D192)-ROW(D$12),0))</f>
        <v>M2</v>
      </c>
      <c r="E192" s="140">
        <f ca="1">IF($A192&lt;&gt;"Serviço",0,ROUND(SUMIF($F$9:$P$9,"&lt;&gt;",$F192:$P192),15-13*PO!$X$3))</f>
        <v>4.08</v>
      </c>
      <c r="F192" s="361">
        <f ca="1">OFFSET(PO!$P$12,ROW($E192)-ROW(F$12),0)</f>
        <v>4.08</v>
      </c>
      <c r="G192" s="361"/>
      <c r="H192" s="361"/>
      <c r="I192" s="361"/>
      <c r="J192" s="361"/>
      <c r="K192" s="361"/>
      <c r="L192" s="361"/>
      <c r="M192" s="361"/>
      <c r="N192" s="361"/>
      <c r="O192" s="361"/>
      <c r="U192" s="182"/>
    </row>
    <row r="193" spans="1:21" s="1" customFormat="1" ht="25.5" x14ac:dyDescent="0.2">
      <c r="A193" s="110" t="str">
        <f ca="1">OFFSET(PO!J$12,ROW(A193)-ROW($A$12),0)</f>
        <v>Serviço</v>
      </c>
      <c r="B193" s="112" t="str">
        <f ca="1">IF($A193=0,"",OFFSET(PO!K$12,ROW(B193)-ROW(B$12),0))</f>
        <v>1.9.1.0.5.</v>
      </c>
      <c r="C193" s="109" t="str">
        <f ca="1">IF(OFFSET(PO!N$12,ROW(C193)-ROW(C$12),0)=0,"",OFFSET(PO!N$12,ROW(C193)-ROW(C$12),0))</f>
        <v>DEMOLIÇÃO DE REVESTIMENTO CERÂMICO, DE FORMA MANUAL, SEM REAPROVEITAMENTO. AF_09/2023</v>
      </c>
      <c r="D193" s="111" t="str">
        <f ca="1">IF(OFFSET(PO!O$12,ROW(D193)-ROW(D$12),0)=0,"",OFFSET(PO!O$12,ROW(D193)-ROW(D$12),0))</f>
        <v>M2</v>
      </c>
      <c r="E193" s="140">
        <f ca="1">IF($A193&lt;&gt;"Serviço",0,ROUND(SUMIF($F$9:$P$9,"&lt;&gt;",$F193:$P193),15-13*PO!$X$3))</f>
        <v>124.92</v>
      </c>
      <c r="F193" s="361">
        <f ca="1">OFFSET(PO!$P$12,ROW($E193)-ROW(F$12),0)</f>
        <v>124.92</v>
      </c>
      <c r="G193" s="361"/>
      <c r="H193" s="361"/>
      <c r="I193" s="361"/>
      <c r="J193" s="361"/>
      <c r="K193" s="361"/>
      <c r="L193" s="361"/>
      <c r="M193" s="361"/>
      <c r="N193" s="361"/>
      <c r="O193" s="361"/>
      <c r="U193" s="182"/>
    </row>
    <row r="194" spans="1:21" s="1" customFormat="1" x14ac:dyDescent="0.2">
      <c r="A194" s="110" t="str">
        <f ca="1">OFFSET(PO!J$12,ROW(A194)-ROW($A$12),0)</f>
        <v>Nível 3</v>
      </c>
      <c r="B194" s="112" t="str">
        <f ca="1">IF($A194=0,"",OFFSET(PO!K$12,ROW(B194)-ROW(B$12),0))</f>
        <v>1.9.2.</v>
      </c>
      <c r="C194" s="109" t="str">
        <f ca="1">IF(OFFSET(PO!N$12,ROW(C194)-ROW(C$12),0)=0,"",OFFSET(PO!N$12,ROW(C194)-ROW(C$12),0))</f>
        <v>Esquadrias com madeira</v>
      </c>
      <c r="D194" s="111" t="str">
        <f ca="1">IF(OFFSET(PO!O$12,ROW(D194)-ROW(D$12),0)=0,"",OFFSET(PO!O$12,ROW(D194)-ROW(D$12),0))</f>
        <v/>
      </c>
      <c r="E194" s="140">
        <f ca="1">IF($A194&lt;&gt;"Serviço",0,ROUND(SUMIF($F$9:$P$9,"&lt;&gt;",$F194:$P194),15-13*PO!$X$3))</f>
        <v>0</v>
      </c>
      <c r="F194" s="361">
        <f ca="1">OFFSET(PO!$P$12,ROW($E194)-ROW(F$12),0)</f>
        <v>0</v>
      </c>
      <c r="G194" s="361"/>
      <c r="H194" s="361"/>
      <c r="I194" s="361"/>
      <c r="J194" s="361"/>
      <c r="K194" s="361"/>
      <c r="L194" s="361"/>
      <c r="M194" s="361"/>
      <c r="N194" s="361"/>
      <c r="O194" s="361"/>
      <c r="U194" s="182"/>
    </row>
    <row r="195" spans="1:21" s="1" customFormat="1" x14ac:dyDescent="0.2">
      <c r="A195" s="110" t="str">
        <f ca="1">OFFSET(PO!J$12,ROW(A195)-ROW($A$12),0)</f>
        <v>Serviço</v>
      </c>
      <c r="B195" s="112" t="str">
        <f ca="1">IF($A195=0,"",OFFSET(PO!K$12,ROW(B195)-ROW(B$12),0))</f>
        <v>1.9.2.0.1.</v>
      </c>
      <c r="C195" s="109" t="str">
        <f ca="1">IF(OFFSET(PO!N$12,ROW(C195)-ROW(C$12),0)=0,"",OFFSET(PO!N$12,ROW(C195)-ROW(C$12),0))</f>
        <v>REINSTALAÇÃO DE JANELAS</v>
      </c>
      <c r="D195" s="111" t="str">
        <f ca="1">IF(OFFSET(PO!O$12,ROW(D195)-ROW(D$12),0)=0,"",OFFSET(PO!O$12,ROW(D195)-ROW(D$12),0))</f>
        <v>M2</v>
      </c>
      <c r="E195" s="140">
        <f ca="1">IF($A195&lt;&gt;"Serviço",0,ROUND(SUMIF($F$9:$P$9,"&lt;&gt;",$F195:$P195),15-13*PO!$X$3))</f>
        <v>2.8</v>
      </c>
      <c r="F195" s="361">
        <f ca="1">OFFSET(PO!$P$12,ROW($E195)-ROW(F$12),0)</f>
        <v>2.8</v>
      </c>
      <c r="G195" s="361"/>
      <c r="H195" s="361"/>
      <c r="I195" s="361"/>
      <c r="J195" s="361"/>
      <c r="K195" s="361"/>
      <c r="L195" s="361"/>
      <c r="M195" s="361"/>
      <c r="N195" s="361"/>
      <c r="O195" s="361"/>
      <c r="U195" s="182"/>
    </row>
    <row r="196" spans="1:21" s="1" customFormat="1" ht="63.75" x14ac:dyDescent="0.2">
      <c r="A196" s="110" t="str">
        <f ca="1">OFFSET(PO!J$12,ROW(A196)-ROW($A$12),0)</f>
        <v>Serviço</v>
      </c>
      <c r="B196" s="112" t="str">
        <f ca="1">IF($A196=0,"",OFFSET(PO!K$12,ROW(B196)-ROW(B$12),0))</f>
        <v>1.9.2.0.2.</v>
      </c>
      <c r="C196" s="109" t="str">
        <f ca="1">IF(OFFSET(PO!N$12,ROW(C196)-ROW(C$12),0)=0,"",OFFSET(PO!N$12,ROW(C196)-ROW(C$12),0))</f>
        <v>KIT DE PORTA DE MADEIRA PARA PINTURA, SEMI-OCA (LEVE OU MÉDIA), PADRÃO MÉDIO, 80X210CM, ESPESSURA DE 3,5CM, ITENS INCLUSOS: DOBRADIÇAS, MONTAGEM E INSTALAÇÃO DO BATENTE, FECHADURA COM EXECUÇÃO DO FURO - FORNECIMENTO E INSTALAÇÃO. AF_12/2019</v>
      </c>
      <c r="D196" s="111" t="str">
        <f ca="1">IF(OFFSET(PO!O$12,ROW(D196)-ROW(D$12),0)=0,"",OFFSET(PO!O$12,ROW(D196)-ROW(D$12),0))</f>
        <v>UN</v>
      </c>
      <c r="E196" s="140">
        <f ca="1">IF($A196&lt;&gt;"Serviço",0,ROUND(SUMIF($F$9:$P$9,"&lt;&gt;",$F196:$P196),15-13*PO!$X$3))</f>
        <v>4</v>
      </c>
      <c r="F196" s="361">
        <f ca="1">OFFSET(PO!$P$12,ROW($E196)-ROW(F$12),0)</f>
        <v>4</v>
      </c>
      <c r="G196" s="361"/>
      <c r="H196" s="361"/>
      <c r="I196" s="361"/>
      <c r="J196" s="361"/>
      <c r="K196" s="361"/>
      <c r="L196" s="361"/>
      <c r="M196" s="361"/>
      <c r="N196" s="361"/>
      <c r="O196" s="361"/>
      <c r="U196" s="182"/>
    </row>
    <row r="197" spans="1:21" s="1" customFormat="1" ht="63.75" x14ac:dyDescent="0.2">
      <c r="A197" s="110" t="str">
        <f ca="1">OFFSET(PO!J$12,ROW(A197)-ROW($A$12),0)</f>
        <v>Serviço</v>
      </c>
      <c r="B197" s="112" t="str">
        <f ca="1">IF($A197=0,"",OFFSET(PO!K$12,ROW(B197)-ROW(B$12),0))</f>
        <v>1.9.2.0.3.</v>
      </c>
      <c r="C197" s="109" t="str">
        <f ca="1">IF(OFFSET(PO!N$12,ROW(C197)-ROW(C$12),0)=0,"",OFFSET(PO!N$12,ROW(C197)-ROW(C$12),0))</f>
        <v>KIT DE PORTA DE MADEIRA PARA PINTURA, SEMI-OCA (LEVE OU MÉDIA), PADRÃO MÉDIO, 60X210CM, ESPESSURA DE 3,5CM, ITENS INCLUSOS: DOBRADIÇAS, MONTAGEM E INSTALAÇÃO DO BATENTE, FECHADURA COM EXECUÇÃO DO FURO - FORNECIMENTO E INSTALAÇÃO. AF_12/2019</v>
      </c>
      <c r="D197" s="111" t="str">
        <f ca="1">IF(OFFSET(PO!O$12,ROW(D197)-ROW(D$12),0)=0,"",OFFSET(PO!O$12,ROW(D197)-ROW(D$12),0))</f>
        <v>UN</v>
      </c>
      <c r="E197" s="140">
        <f ca="1">IF($A197&lt;&gt;"Serviço",0,ROUND(SUMIF($F$9:$P$9,"&lt;&gt;",$F197:$P197),15-13*PO!$X$3))</f>
        <v>8</v>
      </c>
      <c r="F197" s="361">
        <f ca="1">OFFSET(PO!$P$12,ROW($E197)-ROW(F$12),0)</f>
        <v>8</v>
      </c>
      <c r="G197" s="361"/>
      <c r="H197" s="361"/>
      <c r="I197" s="361"/>
      <c r="J197" s="361"/>
      <c r="K197" s="361"/>
      <c r="L197" s="361"/>
      <c r="M197" s="361"/>
      <c r="N197" s="361"/>
      <c r="O197" s="361"/>
      <c r="U197" s="182"/>
    </row>
    <row r="198" spans="1:21" s="1" customFormat="1" ht="25.5" x14ac:dyDescent="0.2">
      <c r="A198" s="110" t="str">
        <f ca="1">OFFSET(PO!J$12,ROW(A198)-ROW($A$12),0)</f>
        <v>Serviço</v>
      </c>
      <c r="B198" s="112" t="str">
        <f ca="1">IF($A198=0,"",OFFSET(PO!K$12,ROW(B198)-ROW(B$12),0))</f>
        <v>1.9.2.0.4.</v>
      </c>
      <c r="C198" s="109" t="str">
        <f ca="1">IF(OFFSET(PO!N$12,ROW(C198)-ROW(C$12),0)=0,"",OFFSET(PO!N$12,ROW(C198)-ROW(C$12),0))</f>
        <v>LIXAMENTO DE MADEIRA PARA APLICAÇÃO DE FUNDO OU PINTURA. AF_01/2021</v>
      </c>
      <c r="D198" s="111" t="str">
        <f ca="1">IF(OFFSET(PO!O$12,ROW(D198)-ROW(D$12),0)=0,"",OFFSET(PO!O$12,ROW(D198)-ROW(D$12),0))</f>
        <v>M2</v>
      </c>
      <c r="E198" s="140">
        <f ca="1">IF($A198&lt;&gt;"Serviço",0,ROUND(SUMIF($F$9:$P$9,"&lt;&gt;",$F198:$P198),15-13*PO!$X$3))</f>
        <v>30.72</v>
      </c>
      <c r="F198" s="361">
        <f ca="1">OFFSET(PO!$P$12,ROW($E198)-ROW(F$12),0)</f>
        <v>30.72</v>
      </c>
      <c r="G198" s="361"/>
      <c r="H198" s="361"/>
      <c r="I198" s="361"/>
      <c r="J198" s="361"/>
      <c r="K198" s="361"/>
      <c r="L198" s="361"/>
      <c r="M198" s="361"/>
      <c r="N198" s="361"/>
      <c r="O198" s="361"/>
      <c r="U198" s="182"/>
    </row>
    <row r="199" spans="1:21" s="1" customFormat="1" ht="25.5" x14ac:dyDescent="0.2">
      <c r="A199" s="110" t="str">
        <f ca="1">OFFSET(PO!J$12,ROW(A199)-ROW($A$12),0)</f>
        <v>Serviço</v>
      </c>
      <c r="B199" s="112" t="str">
        <f ca="1">IF($A199=0,"",OFFSET(PO!K$12,ROW(B199)-ROW(B$12),0))</f>
        <v>1.9.2.0.5.</v>
      </c>
      <c r="C199" s="109" t="str">
        <f ca="1">IF(OFFSET(PO!N$12,ROW(C199)-ROW(C$12),0)=0,"",OFFSET(PO!N$12,ROW(C199)-ROW(C$12),0))</f>
        <v>PINTURA FUNDO NIVELADOR ALQUÍDICO BRANCO EM MADEIRA. AF_01/2021</v>
      </c>
      <c r="D199" s="111" t="str">
        <f ca="1">IF(OFFSET(PO!O$12,ROW(D199)-ROW(D$12),0)=0,"",OFFSET(PO!O$12,ROW(D199)-ROW(D$12),0))</f>
        <v>M2</v>
      </c>
      <c r="E199" s="140">
        <f ca="1">IF($A199&lt;&gt;"Serviço",0,ROUND(SUMIF($F$9:$P$9,"&lt;&gt;",$F199:$P199),15-13*PO!$X$3))</f>
        <v>30.72</v>
      </c>
      <c r="F199" s="361">
        <f ca="1">OFFSET(PO!$P$12,ROW($E199)-ROW(F$12),0)</f>
        <v>30.72</v>
      </c>
      <c r="G199" s="361"/>
      <c r="H199" s="361"/>
      <c r="I199" s="361"/>
      <c r="J199" s="361"/>
      <c r="K199" s="361"/>
      <c r="L199" s="361"/>
      <c r="M199" s="361"/>
      <c r="N199" s="361"/>
      <c r="O199" s="361"/>
      <c r="U199" s="182"/>
    </row>
    <row r="200" spans="1:21" s="1" customFormat="1" ht="25.5" x14ac:dyDescent="0.2">
      <c r="A200" s="110" t="str">
        <f ca="1">OFFSET(PO!J$12,ROW(A200)-ROW($A$12),0)</f>
        <v>Serviço</v>
      </c>
      <c r="B200" s="112" t="str">
        <f ca="1">IF($A200=0,"",OFFSET(PO!K$12,ROW(B200)-ROW(B$12),0))</f>
        <v>1.9.2.0.6.</v>
      </c>
      <c r="C200" s="109" t="str">
        <f ca="1">IF(OFFSET(PO!N$12,ROW(C200)-ROW(C$12),0)=0,"",OFFSET(PO!N$12,ROW(C200)-ROW(C$12),0))</f>
        <v>PINTURA TINTA DE ACABAMENTO (PIGMENTADA) ESMALTE SINTÉTICO ACETINADO EM MADEIRA, 2 DEMÃOS. AF_01/2021</v>
      </c>
      <c r="D200" s="111" t="str">
        <f ca="1">IF(OFFSET(PO!O$12,ROW(D200)-ROW(D$12),0)=0,"",OFFSET(PO!O$12,ROW(D200)-ROW(D$12),0))</f>
        <v>M2</v>
      </c>
      <c r="E200" s="140">
        <f ca="1">IF($A200&lt;&gt;"Serviço",0,ROUND(SUMIF($F$9:$P$9,"&lt;&gt;",$F200:$P200),15-13*PO!$X$3))</f>
        <v>30.72</v>
      </c>
      <c r="F200" s="361">
        <f ca="1">OFFSET(PO!$P$12,ROW($E200)-ROW(F$12),0)</f>
        <v>30.72</v>
      </c>
      <c r="G200" s="361"/>
      <c r="H200" s="361"/>
      <c r="I200" s="361"/>
      <c r="J200" s="361"/>
      <c r="K200" s="361"/>
      <c r="L200" s="361"/>
      <c r="M200" s="361"/>
      <c r="N200" s="361"/>
      <c r="O200" s="361"/>
      <c r="U200" s="182"/>
    </row>
    <row r="201" spans="1:21" s="1" customFormat="1" x14ac:dyDescent="0.2">
      <c r="A201" s="110" t="str">
        <f ca="1">OFFSET(PO!J$12,ROW(A201)-ROW($A$12),0)</f>
        <v>Nível 3</v>
      </c>
      <c r="B201" s="112" t="str">
        <f ca="1">IF($A201=0,"",OFFSET(PO!K$12,ROW(B201)-ROW(B$12),0))</f>
        <v>1.9.3.</v>
      </c>
      <c r="C201" s="109" t="str">
        <f ca="1">IF(OFFSET(PO!N$12,ROW(C201)-ROW(C$12),0)=0,"",OFFSET(PO!N$12,ROW(C201)-ROW(C$12),0))</f>
        <v xml:space="preserve">Reinstalação de sanitários e lavatórios </v>
      </c>
      <c r="D201" s="111" t="str">
        <f ca="1">IF(OFFSET(PO!O$12,ROW(D201)-ROW(D$12),0)=0,"",OFFSET(PO!O$12,ROW(D201)-ROW(D$12),0))</f>
        <v/>
      </c>
      <c r="E201" s="140">
        <f ca="1">IF($A201&lt;&gt;"Serviço",0,ROUND(SUMIF($F$9:$P$9,"&lt;&gt;",$F201:$P201),15-13*PO!$X$3))</f>
        <v>0</v>
      </c>
      <c r="F201" s="361">
        <f ca="1">OFFSET(PO!$P$12,ROW($E201)-ROW(F$12),0)</f>
        <v>0</v>
      </c>
      <c r="G201" s="361"/>
      <c r="H201" s="361"/>
      <c r="I201" s="361"/>
      <c r="J201" s="361"/>
      <c r="K201" s="361"/>
      <c r="L201" s="361"/>
      <c r="M201" s="361"/>
      <c r="N201" s="361"/>
      <c r="O201" s="361"/>
      <c r="U201" s="182"/>
    </row>
    <row r="202" spans="1:21" s="1" customFormat="1" ht="25.5" x14ac:dyDescent="0.2">
      <c r="A202" s="110" t="str">
        <f ca="1">OFFSET(PO!J$12,ROW(A202)-ROW($A$12),0)</f>
        <v>Serviço</v>
      </c>
      <c r="B202" s="112" t="str">
        <f ca="1">IF($A202=0,"",OFFSET(PO!K$12,ROW(B202)-ROW(B$12),0))</f>
        <v>1.9.3.0.1.</v>
      </c>
      <c r="C202" s="109" t="str">
        <f ca="1">IF(OFFSET(PO!N$12,ROW(C202)-ROW(C$12),0)=0,"",OFFSET(PO!N$12,ROW(C202)-ROW(C$12),0))</f>
        <v>REINSTALAÇÃO DE VASO SANITÁRIO LOUÇA BRANCA COMPLETO</v>
      </c>
      <c r="D202" s="111" t="str">
        <f ca="1">IF(OFFSET(PO!O$12,ROW(D202)-ROW(D$12),0)=0,"",OFFSET(PO!O$12,ROW(D202)-ROW(D$12),0))</f>
        <v>UN</v>
      </c>
      <c r="E202" s="140">
        <f ca="1">IF($A202&lt;&gt;"Serviço",0,ROUND(SUMIF($F$9:$P$9,"&lt;&gt;",$F202:$P202),15-13*PO!$X$3))</f>
        <v>8</v>
      </c>
      <c r="F202" s="361">
        <f ca="1">OFFSET(PO!$P$12,ROW($E202)-ROW(F$12),0)</f>
        <v>8</v>
      </c>
      <c r="G202" s="361"/>
      <c r="H202" s="361"/>
      <c r="I202" s="361"/>
      <c r="J202" s="361"/>
      <c r="K202" s="361"/>
      <c r="L202" s="361"/>
      <c r="M202" s="361"/>
      <c r="N202" s="361"/>
      <c r="O202" s="361"/>
      <c r="U202" s="182"/>
    </row>
    <row r="203" spans="1:21" s="1" customFormat="1" ht="25.5" x14ac:dyDescent="0.2">
      <c r="A203" s="110" t="str">
        <f ca="1">OFFSET(PO!J$12,ROW(A203)-ROW($A$12),0)</f>
        <v>Serviço</v>
      </c>
      <c r="B203" s="112" t="str">
        <f ca="1">IF($A203=0,"",OFFSET(PO!K$12,ROW(B203)-ROW(B$12),0))</f>
        <v>1.9.3.0.2.</v>
      </c>
      <c r="C203" s="109" t="str">
        <f ca="1">IF(OFFSET(PO!N$12,ROW(C203)-ROW(C$12),0)=0,"",OFFSET(PO!N$12,ROW(C203)-ROW(C$12),0))</f>
        <v>ASSENTO SANITÁRIO CONVENCIONAL - FORNECIMENTO E INSTALACAO. AF_01/2020</v>
      </c>
      <c r="D203" s="111" t="str">
        <f ca="1">IF(OFFSET(PO!O$12,ROW(D203)-ROW(D$12),0)=0,"",OFFSET(PO!O$12,ROW(D203)-ROW(D$12),0))</f>
        <v>UN</v>
      </c>
      <c r="E203" s="140">
        <f ca="1">IF($A203&lt;&gt;"Serviço",0,ROUND(SUMIF($F$9:$P$9,"&lt;&gt;",$F203:$P203),15-13*PO!$X$3))</f>
        <v>8</v>
      </c>
      <c r="F203" s="361">
        <f ca="1">OFFSET(PO!$P$12,ROW($E203)-ROW(F$12),0)</f>
        <v>8</v>
      </c>
      <c r="G203" s="361"/>
      <c r="H203" s="361"/>
      <c r="I203" s="361"/>
      <c r="J203" s="361"/>
      <c r="K203" s="361"/>
      <c r="L203" s="361"/>
      <c r="M203" s="361"/>
      <c r="N203" s="361"/>
      <c r="O203" s="361"/>
      <c r="U203" s="182"/>
    </row>
    <row r="204" spans="1:21" s="1" customFormat="1" ht="25.5" x14ac:dyDescent="0.2">
      <c r="A204" s="110" t="str">
        <f ca="1">OFFSET(PO!J$12,ROW(A204)-ROW($A$12),0)</f>
        <v>Serviço</v>
      </c>
      <c r="B204" s="112" t="str">
        <f ca="1">IF($A204=0,"",OFFSET(PO!K$12,ROW(B204)-ROW(B$12),0))</f>
        <v>1.9.3.0.3.</v>
      </c>
      <c r="C204" s="109" t="str">
        <f ca="1">IF(OFFSET(PO!N$12,ROW(C204)-ROW(C$12),0)=0,"",OFFSET(PO!N$12,ROW(C204)-ROW(C$12),0))</f>
        <v>REINSTALAÇÃO DE LAVATÓRIO, TORNEIRA E VÁLVULA COM SIFÃO E ENGATE NOVOS</v>
      </c>
      <c r="D204" s="111" t="str">
        <f ca="1">IF(OFFSET(PO!O$12,ROW(D204)-ROW(D$12),0)=0,"",OFFSET(PO!O$12,ROW(D204)-ROW(D$12),0))</f>
        <v>UN</v>
      </c>
      <c r="E204" s="140">
        <f ca="1">IF($A204&lt;&gt;"Serviço",0,ROUND(SUMIF($F$9:$P$9,"&lt;&gt;",$F204:$P204),15-13*PO!$X$3))</f>
        <v>8</v>
      </c>
      <c r="F204" s="361">
        <f ca="1">OFFSET(PO!$P$12,ROW($E204)-ROW(F$12),0)</f>
        <v>8</v>
      </c>
      <c r="G204" s="361"/>
      <c r="H204" s="361"/>
      <c r="I204" s="361"/>
      <c r="J204" s="361"/>
      <c r="K204" s="361"/>
      <c r="L204" s="361"/>
      <c r="M204" s="361"/>
      <c r="N204" s="361"/>
      <c r="O204" s="361"/>
      <c r="U204" s="182"/>
    </row>
    <row r="205" spans="1:21" s="1" customFormat="1" x14ac:dyDescent="0.2">
      <c r="A205" s="110" t="str">
        <f ca="1">OFFSET(PO!J$12,ROW(A205)-ROW($A$12),0)</f>
        <v>Nível 3</v>
      </c>
      <c r="B205" s="112" t="str">
        <f ca="1">IF($A205=0,"",OFFSET(PO!K$12,ROW(B205)-ROW(B$12),0))</f>
        <v>1.9.4.</v>
      </c>
      <c r="C205" s="109" t="str">
        <f ca="1">IF(OFFSET(PO!N$12,ROW(C205)-ROW(C$12),0)=0,"",OFFSET(PO!N$12,ROW(C205)-ROW(C$12),0))</f>
        <v>Revestimentos de paredes e tetos</v>
      </c>
      <c r="D205" s="111" t="str">
        <f ca="1">IF(OFFSET(PO!O$12,ROW(D205)-ROW(D$12),0)=0,"",OFFSET(PO!O$12,ROW(D205)-ROW(D$12),0))</f>
        <v/>
      </c>
      <c r="E205" s="140">
        <f ca="1">IF($A205&lt;&gt;"Serviço",0,ROUND(SUMIF($F$9:$P$9,"&lt;&gt;",$F205:$P205),15-13*PO!$X$3))</f>
        <v>0</v>
      </c>
      <c r="F205" s="361">
        <f ca="1">OFFSET(PO!$P$12,ROW($E205)-ROW(F$12),0)</f>
        <v>0</v>
      </c>
      <c r="G205" s="361"/>
      <c r="H205" s="361"/>
      <c r="I205" s="361"/>
      <c r="J205" s="361"/>
      <c r="K205" s="361"/>
      <c r="L205" s="361"/>
      <c r="M205" s="361"/>
      <c r="N205" s="361"/>
      <c r="O205" s="361"/>
      <c r="U205" s="182"/>
    </row>
    <row r="206" spans="1:21" s="1" customFormat="1" ht="38.25" x14ac:dyDescent="0.2">
      <c r="A206" s="110" t="str">
        <f ca="1">OFFSET(PO!J$12,ROW(A206)-ROW($A$12),0)</f>
        <v>Serviço</v>
      </c>
      <c r="B206" s="112" t="str">
        <f ca="1">IF($A206=0,"",OFFSET(PO!K$12,ROW(B206)-ROW(B$12),0))</f>
        <v>1.9.4.0.1.</v>
      </c>
      <c r="C206" s="109" t="str">
        <f ca="1">IF(OFFSET(PO!N$12,ROW(C206)-ROW(C$12),0)=0,"",OFFSET(PO!N$12,ROW(C206)-ROW(C$12),0))</f>
        <v>REVESTIMENTO CERÂMICO PARA PAREDES INTERNAS COM PLACAS TIPO ESMALTADA DE DIMENSÕES 33X45 CM APLICADAS NA ALTURA INTEIRA DAS PAREDES. AF_02/2023_PE</v>
      </c>
      <c r="D206" s="111" t="str">
        <f ca="1">IF(OFFSET(PO!O$12,ROW(D206)-ROW(D$12),0)=0,"",OFFSET(PO!O$12,ROW(D206)-ROW(D$12),0))</f>
        <v>M2</v>
      </c>
      <c r="E206" s="140">
        <f ca="1">IF($A206&lt;&gt;"Serviço",0,ROUND(SUMIF($F$9:$P$9,"&lt;&gt;",$F206:$P206),15-13*PO!$X$3))</f>
        <v>166.8</v>
      </c>
      <c r="F206" s="361">
        <f ca="1">OFFSET(PO!$P$12,ROW($E206)-ROW(F$12),0)</f>
        <v>166.8</v>
      </c>
      <c r="G206" s="361"/>
      <c r="H206" s="361"/>
      <c r="I206" s="361"/>
      <c r="J206" s="361"/>
      <c r="K206" s="361"/>
      <c r="L206" s="361"/>
      <c r="M206" s="361"/>
      <c r="N206" s="361"/>
      <c r="O206" s="361"/>
      <c r="U206" s="182"/>
    </row>
    <row r="207" spans="1:21" s="1" customFormat="1" ht="25.5" x14ac:dyDescent="0.2">
      <c r="A207" s="110" t="str">
        <f ca="1">OFFSET(PO!J$12,ROW(A207)-ROW($A$12),0)</f>
        <v>Serviço</v>
      </c>
      <c r="B207" s="112" t="str">
        <f ca="1">IF($A207=0,"",OFFSET(PO!K$12,ROW(B207)-ROW(B$12),0))</f>
        <v>1.9.4.0.2.</v>
      </c>
      <c r="C207" s="109" t="str">
        <f ca="1">IF(OFFSET(PO!N$12,ROW(C207)-ROW(C$12),0)=0,"",OFFSET(PO!N$12,ROW(C207)-ROW(C$12),0))</f>
        <v>FUNDO SELADOR ACRÍLICO, APLICAÇÃO MANUAL EM TETO, UMA DEMÃO. AF_04/2023</v>
      </c>
      <c r="D207" s="111" t="str">
        <f ca="1">IF(OFFSET(PO!O$12,ROW(D207)-ROW(D$12),0)=0,"",OFFSET(PO!O$12,ROW(D207)-ROW(D$12),0))</f>
        <v>M2</v>
      </c>
      <c r="E207" s="140">
        <f ca="1">IF($A207&lt;&gt;"Serviço",0,ROUND(SUMIF($F$9:$P$9,"&lt;&gt;",$F207:$P207),15-13*PO!$X$3))</f>
        <v>34.840000000000003</v>
      </c>
      <c r="F207" s="361">
        <f ca="1">OFFSET(PO!$P$12,ROW($E207)-ROW(F$12),0)</f>
        <v>34.840000000000003</v>
      </c>
      <c r="G207" s="361"/>
      <c r="H207" s="361"/>
      <c r="I207" s="361"/>
      <c r="J207" s="361"/>
      <c r="K207" s="361"/>
      <c r="L207" s="361"/>
      <c r="M207" s="361"/>
      <c r="N207" s="361"/>
      <c r="O207" s="361"/>
      <c r="U207" s="182"/>
    </row>
    <row r="208" spans="1:21" s="1" customFormat="1" ht="25.5" x14ac:dyDescent="0.2">
      <c r="A208" s="110" t="str">
        <f ca="1">OFFSET(PO!J$12,ROW(A208)-ROW($A$12),0)</f>
        <v>Serviço</v>
      </c>
      <c r="B208" s="112" t="str">
        <f ca="1">IF($A208=0,"",OFFSET(PO!K$12,ROW(B208)-ROW(B$12),0))</f>
        <v>1.9.4.0.3.</v>
      </c>
      <c r="C208" s="109" t="str">
        <f ca="1">IF(OFFSET(PO!N$12,ROW(C208)-ROW(C$12),0)=0,"",OFFSET(PO!N$12,ROW(C208)-ROW(C$12),0))</f>
        <v>EMASSAMENTO COM MASSA LÁTEX, APLICAÇÃO EM TETO, DUAS DEMÃOS, LIXAMENTO MANUAL. AF_04/2023</v>
      </c>
      <c r="D208" s="111" t="str">
        <f ca="1">IF(OFFSET(PO!O$12,ROW(D208)-ROW(D$12),0)=0,"",OFFSET(PO!O$12,ROW(D208)-ROW(D$12),0))</f>
        <v>M2</v>
      </c>
      <c r="E208" s="140">
        <f ca="1">IF($A208&lt;&gt;"Serviço",0,ROUND(SUMIF($F$9:$P$9,"&lt;&gt;",$F208:$P208),15-13*PO!$X$3))</f>
        <v>34.840000000000003</v>
      </c>
      <c r="F208" s="361">
        <f ca="1">OFFSET(PO!$P$12,ROW($E208)-ROW(F$12),0)</f>
        <v>34.840000000000003</v>
      </c>
      <c r="G208" s="361"/>
      <c r="H208" s="361"/>
      <c r="I208" s="361"/>
      <c r="J208" s="361"/>
      <c r="K208" s="361"/>
      <c r="L208" s="361"/>
      <c r="M208" s="361"/>
      <c r="N208" s="361"/>
      <c r="O208" s="361"/>
      <c r="U208" s="182"/>
    </row>
    <row r="209" spans="1:21" s="1" customFormat="1" ht="25.5" x14ac:dyDescent="0.2">
      <c r="A209" s="110" t="str">
        <f ca="1">OFFSET(PO!J$12,ROW(A209)-ROW($A$12),0)</f>
        <v>Serviço</v>
      </c>
      <c r="B209" s="112" t="str">
        <f ca="1">IF($A209=0,"",OFFSET(PO!K$12,ROW(B209)-ROW(B$12),0))</f>
        <v>1.9.4.0.4.</v>
      </c>
      <c r="C209" s="109" t="str">
        <f ca="1">IF(OFFSET(PO!N$12,ROW(C209)-ROW(C$12),0)=0,"",OFFSET(PO!N$12,ROW(C209)-ROW(C$12),0))</f>
        <v>PINTURA LÁTEX ACRÍLICA STANDARD, APLICAÇÃO MANUAL EM TETO, DUAS DEMÃOS. AF_04/2023</v>
      </c>
      <c r="D209" s="111" t="str">
        <f ca="1">IF(OFFSET(PO!O$12,ROW(D209)-ROW(D$12),0)=0,"",OFFSET(PO!O$12,ROW(D209)-ROW(D$12),0))</f>
        <v>M2</v>
      </c>
      <c r="E209" s="140">
        <f ca="1">IF($A209&lt;&gt;"Serviço",0,ROUND(SUMIF($F$9:$P$9,"&lt;&gt;",$F209:$P209),15-13*PO!$X$3))</f>
        <v>34.840000000000003</v>
      </c>
      <c r="F209" s="361">
        <f ca="1">OFFSET(PO!$P$12,ROW($E209)-ROW(F$12),0)</f>
        <v>34.840000000000003</v>
      </c>
      <c r="G209" s="361"/>
      <c r="H209" s="361"/>
      <c r="I209" s="361"/>
      <c r="J209" s="361"/>
      <c r="K209" s="361"/>
      <c r="L209" s="361"/>
      <c r="M209" s="361"/>
      <c r="N209" s="361"/>
      <c r="O209" s="361"/>
      <c r="U209" s="182"/>
    </row>
    <row r="210" spans="1:21" s="1" customFormat="1" x14ac:dyDescent="0.2">
      <c r="A210" s="110" t="str">
        <f ca="1">OFFSET(PO!J$12,ROW(A210)-ROW($A$12),0)</f>
        <v>Nível 3</v>
      </c>
      <c r="B210" s="112" t="str">
        <f ca="1">IF($A210=0,"",OFFSET(PO!K$12,ROW(B210)-ROW(B$12),0))</f>
        <v>1.9.5.</v>
      </c>
      <c r="C210" s="109" t="str">
        <f ca="1">IF(OFFSET(PO!N$12,ROW(C210)-ROW(C$12),0)=0,"",OFFSET(PO!N$12,ROW(C210)-ROW(C$12),0))</f>
        <v>Instalações elétricas</v>
      </c>
      <c r="D210" s="111" t="str">
        <f ca="1">IF(OFFSET(PO!O$12,ROW(D210)-ROW(D$12),0)=0,"",OFFSET(PO!O$12,ROW(D210)-ROW(D$12),0))</f>
        <v/>
      </c>
      <c r="E210" s="140">
        <f ca="1">IF($A210&lt;&gt;"Serviço",0,ROUND(SUMIF($F$9:$P$9,"&lt;&gt;",$F210:$P210),15-13*PO!$X$3))</f>
        <v>0</v>
      </c>
      <c r="F210" s="361">
        <f ca="1">OFFSET(PO!$P$12,ROW($E210)-ROW(F$12),0)</f>
        <v>0</v>
      </c>
      <c r="G210" s="361"/>
      <c r="H210" s="361"/>
      <c r="I210" s="361"/>
      <c r="J210" s="361"/>
      <c r="K210" s="361"/>
      <c r="L210" s="361"/>
      <c r="M210" s="361"/>
      <c r="N210" s="361"/>
      <c r="O210" s="361"/>
      <c r="U210" s="182"/>
    </row>
    <row r="211" spans="1:21" s="1" customFormat="1" ht="25.5" x14ac:dyDescent="0.2">
      <c r="A211" s="110" t="str">
        <f ca="1">OFFSET(PO!J$12,ROW(A211)-ROW($A$12),0)</f>
        <v>Serviço</v>
      </c>
      <c r="B211" s="112" t="str">
        <f ca="1">IF($A211=0,"",OFFSET(PO!K$12,ROW(B211)-ROW(B$12),0))</f>
        <v>1.9.5.0.1.</v>
      </c>
      <c r="C211" s="109" t="str">
        <f ca="1">IF(OFFSET(PO!N$12,ROW(C211)-ROW(C$12),0)=0,"",OFFSET(PO!N$12,ROW(C211)-ROW(C$12),0))</f>
        <v>REMOÇÃO DE LUMINÁRIAS, DE FORMA MANUAL, SEM REAPROVEITAMENTO. AF_09/2023</v>
      </c>
      <c r="D211" s="111" t="str">
        <f ca="1">IF(OFFSET(PO!O$12,ROW(D211)-ROW(D$12),0)=0,"",OFFSET(PO!O$12,ROW(D211)-ROW(D$12),0))</f>
        <v>UN</v>
      </c>
      <c r="E211" s="140">
        <f ca="1">IF($A211&lt;&gt;"Serviço",0,ROUND(SUMIF($F$9:$P$9,"&lt;&gt;",$F211:$P211),15-13*PO!$X$3))</f>
        <v>4</v>
      </c>
      <c r="F211" s="361">
        <f ca="1">OFFSET(PO!$P$12,ROW($E211)-ROW(F$12),0)</f>
        <v>4</v>
      </c>
      <c r="G211" s="361"/>
      <c r="H211" s="361"/>
      <c r="I211" s="361"/>
      <c r="J211" s="361"/>
      <c r="K211" s="361"/>
      <c r="L211" s="361"/>
      <c r="M211" s="361"/>
      <c r="N211" s="361"/>
      <c r="O211" s="361"/>
      <c r="U211" s="182"/>
    </row>
    <row r="212" spans="1:21" s="1" customFormat="1" ht="25.5" x14ac:dyDescent="0.2">
      <c r="A212" s="110" t="str">
        <f ca="1">OFFSET(PO!J$12,ROW(A212)-ROW($A$12),0)</f>
        <v>Serviço</v>
      </c>
      <c r="B212" s="112" t="str">
        <f ca="1">IF($A212=0,"",OFFSET(PO!K$12,ROW(B212)-ROW(B$12),0))</f>
        <v>1.9.5.0.2.</v>
      </c>
      <c r="C212" s="109" t="str">
        <f ca="1">IF(OFFSET(PO!N$12,ROW(C212)-ROW(C$12),0)=0,"",OFFSET(PO!N$12,ROW(C212)-ROW(C$12),0))</f>
        <v>REMOÇÃO DE INTERRUPTORES/TOMADAS ELÉTRICAS, DE FORMA MANUAL, SEM REAPROVEITAMENTO. AF_09/2023</v>
      </c>
      <c r="D212" s="111" t="str">
        <f ca="1">IF(OFFSET(PO!O$12,ROW(D212)-ROW(D$12),0)=0,"",OFFSET(PO!O$12,ROW(D212)-ROW(D$12),0))</f>
        <v>UN</v>
      </c>
      <c r="E212" s="140">
        <f ca="1">IF($A212&lt;&gt;"Serviço",0,ROUND(SUMIF($F$9:$P$9,"&lt;&gt;",$F212:$P212),15-13*PO!$X$3))</f>
        <v>4</v>
      </c>
      <c r="F212" s="361">
        <f ca="1">OFFSET(PO!$P$12,ROW($E212)-ROW(F$12),0)</f>
        <v>4</v>
      </c>
      <c r="G212" s="361"/>
      <c r="H212" s="361"/>
      <c r="I212" s="361"/>
      <c r="J212" s="361"/>
      <c r="K212" s="361"/>
      <c r="L212" s="361"/>
      <c r="M212" s="361"/>
      <c r="N212" s="361"/>
      <c r="O212" s="361"/>
      <c r="U212" s="182"/>
    </row>
    <row r="213" spans="1:21" s="1" customFormat="1" ht="38.25" x14ac:dyDescent="0.2">
      <c r="A213" s="110" t="str">
        <f ca="1">OFFSET(PO!J$12,ROW(A213)-ROW($A$12),0)</f>
        <v>Serviço</v>
      </c>
      <c r="B213" s="112" t="str">
        <f ca="1">IF($A213=0,"",OFFSET(PO!K$12,ROW(B213)-ROW(B$12),0))</f>
        <v>1.9.5.0.3.</v>
      </c>
      <c r="C213" s="109" t="str">
        <f ca="1">IF(OFFSET(PO!N$12,ROW(C213)-ROW(C$12),0)=0,"",OFFSET(PO!N$12,ROW(C213)-ROW(C$12),0))</f>
        <v>REMOÇÃO DE CABOS ELÉTRICOS, COM SEÇÃO MAIOR QUE 2,5 MM² E MENOR QUE 10 MM², DE FORMA MANUAL, SEM REAPROVEITAMENTO. AF_09/2023</v>
      </c>
      <c r="D213" s="111" t="str">
        <f ca="1">IF(OFFSET(PO!O$12,ROW(D213)-ROW(D$12),0)=0,"",OFFSET(PO!O$12,ROW(D213)-ROW(D$12),0))</f>
        <v>M</v>
      </c>
      <c r="E213" s="140">
        <f ca="1">IF($A213&lt;&gt;"Serviço",0,ROUND(SUMIF($F$9:$P$9,"&lt;&gt;",$F213:$P213),15-13*PO!$X$3))</f>
        <v>70</v>
      </c>
      <c r="F213" s="361">
        <f ca="1">OFFSET(PO!$P$12,ROW($E213)-ROW(F$12),0)</f>
        <v>70</v>
      </c>
      <c r="G213" s="361"/>
      <c r="H213" s="361"/>
      <c r="I213" s="361"/>
      <c r="J213" s="361"/>
      <c r="K213" s="361"/>
      <c r="L213" s="361"/>
      <c r="M213" s="361"/>
      <c r="N213" s="361"/>
      <c r="O213" s="361"/>
      <c r="U213" s="182"/>
    </row>
    <row r="214" spans="1:21" s="1" customFormat="1" ht="38.25" x14ac:dyDescent="0.2">
      <c r="A214" s="110" t="str">
        <f ca="1">OFFSET(PO!J$12,ROW(A214)-ROW($A$12),0)</f>
        <v>Serviço</v>
      </c>
      <c r="B214" s="112" t="str">
        <f ca="1">IF($A214=0,"",OFFSET(PO!K$12,ROW(B214)-ROW(B$12),0))</f>
        <v>1.9.5.0.4.</v>
      </c>
      <c r="C214" s="109" t="str">
        <f ca="1">IF(OFFSET(PO!N$12,ROW(C214)-ROW(C$12),0)=0,"",OFFSET(PO!N$12,ROW(C214)-ROW(C$12),0))</f>
        <v>RASGO LINEAR MECANIZADO EM ALVENARIA, PARA ELETRODUTOS, DIÂMETROS MENORES OU IGUAIS A 40 MM. AF_09/2023</v>
      </c>
      <c r="D214" s="111" t="str">
        <f ca="1">IF(OFFSET(PO!O$12,ROW(D214)-ROW(D$12),0)=0,"",OFFSET(PO!O$12,ROW(D214)-ROW(D$12),0))</f>
        <v>M</v>
      </c>
      <c r="E214" s="140">
        <f ca="1">IF($A214&lt;&gt;"Serviço",0,ROUND(SUMIF($F$9:$P$9,"&lt;&gt;",$F214:$P214),15-13*PO!$X$3))</f>
        <v>8</v>
      </c>
      <c r="F214" s="361">
        <f ca="1">OFFSET(PO!$P$12,ROW($E214)-ROW(F$12),0)</f>
        <v>8</v>
      </c>
      <c r="G214" s="361"/>
      <c r="H214" s="361"/>
      <c r="I214" s="361"/>
      <c r="J214" s="361"/>
      <c r="K214" s="361"/>
      <c r="L214" s="361"/>
      <c r="M214" s="361"/>
      <c r="N214" s="361"/>
      <c r="O214" s="361"/>
      <c r="U214" s="182"/>
    </row>
    <row r="215" spans="1:21" s="1" customFormat="1" ht="25.5" x14ac:dyDescent="0.2">
      <c r="A215" s="110" t="str">
        <f ca="1">OFFSET(PO!J$12,ROW(A215)-ROW($A$12),0)</f>
        <v>Serviço</v>
      </c>
      <c r="B215" s="112" t="str">
        <f ca="1">IF($A215=0,"",OFFSET(PO!K$12,ROW(B215)-ROW(B$12),0))</f>
        <v>1.9.5.0.5.</v>
      </c>
      <c r="C215" s="109" t="str">
        <f ca="1">IF(OFFSET(PO!N$12,ROW(C215)-ROW(C$12),0)=0,"",OFFSET(PO!N$12,ROW(C215)-ROW(C$12),0))</f>
        <v>CHUMBAMENTO LINEAR EM ALVENARIA PARA ELETRODUTOS COM DIÂMETROS MENORES OU IGUAIS A 40 MM. AF_09/2023</v>
      </c>
      <c r="D215" s="111" t="str">
        <f ca="1">IF(OFFSET(PO!O$12,ROW(D215)-ROW(D$12),0)=0,"",OFFSET(PO!O$12,ROW(D215)-ROW(D$12),0))</f>
        <v>M</v>
      </c>
      <c r="E215" s="140">
        <f ca="1">IF($A215&lt;&gt;"Serviço",0,ROUND(SUMIF($F$9:$P$9,"&lt;&gt;",$F215:$P215),15-13*PO!$X$3))</f>
        <v>8</v>
      </c>
      <c r="F215" s="361">
        <f ca="1">OFFSET(PO!$P$12,ROW($E215)-ROW(F$12),0)</f>
        <v>8</v>
      </c>
      <c r="G215" s="361"/>
      <c r="H215" s="361"/>
      <c r="I215" s="361"/>
      <c r="J215" s="361"/>
      <c r="K215" s="361"/>
      <c r="L215" s="361"/>
      <c r="M215" s="361"/>
      <c r="N215" s="361"/>
      <c r="O215" s="361"/>
      <c r="U215" s="182"/>
    </row>
    <row r="216" spans="1:21" s="1" customFormat="1" ht="38.25" x14ac:dyDescent="0.2">
      <c r="A216" s="110" t="str">
        <f ca="1">OFFSET(PO!J$12,ROW(A216)-ROW($A$12),0)</f>
        <v>Serviço</v>
      </c>
      <c r="B216" s="112" t="str">
        <f ca="1">IF($A216=0,"",OFFSET(PO!K$12,ROW(B216)-ROW(B$12),0))</f>
        <v>1.9.5.0.6.</v>
      </c>
      <c r="C216" s="109" t="str">
        <f ca="1">IF(OFFSET(PO!N$12,ROW(C216)-ROW(C$12),0)=0,"",OFFSET(PO!N$12,ROW(C216)-ROW(C$12),0))</f>
        <v>ELETRODUTO FLEXÍVEL CORRUGADO REFORÇADO, PVC, DN 25 MM (3/4"), PARA CIRCUITOS TERMINAIS, INSTALADO EM LAJE - FORNECIMENTO E INSTALAÇÃO. AF_03/2023</v>
      </c>
      <c r="D216" s="111" t="str">
        <f ca="1">IF(OFFSET(PO!O$12,ROW(D216)-ROW(D$12),0)=0,"",OFFSET(PO!O$12,ROW(D216)-ROW(D$12),0))</f>
        <v>M</v>
      </c>
      <c r="E216" s="140">
        <f ca="1">IF($A216&lt;&gt;"Serviço",0,ROUND(SUMIF($F$9:$P$9,"&lt;&gt;",$F216:$P216),15-13*PO!$X$3))</f>
        <v>6</v>
      </c>
      <c r="F216" s="361">
        <f ca="1">OFFSET(PO!$P$12,ROW($E216)-ROW(F$12),0)</f>
        <v>6</v>
      </c>
      <c r="G216" s="361"/>
      <c r="H216" s="361"/>
      <c r="I216" s="361"/>
      <c r="J216" s="361"/>
      <c r="K216" s="361"/>
      <c r="L216" s="361"/>
      <c r="M216" s="361"/>
      <c r="N216" s="361"/>
      <c r="O216" s="361"/>
      <c r="U216" s="182"/>
    </row>
    <row r="217" spans="1:21" s="1" customFormat="1" ht="38.25" x14ac:dyDescent="0.2">
      <c r="A217" s="110" t="str">
        <f ca="1">OFFSET(PO!J$12,ROW(A217)-ROW($A$12),0)</f>
        <v>Serviço</v>
      </c>
      <c r="B217" s="112" t="str">
        <f ca="1">IF($A217=0,"",OFFSET(PO!K$12,ROW(B217)-ROW(B$12),0))</f>
        <v>1.9.5.0.7.</v>
      </c>
      <c r="C217" s="109" t="str">
        <f ca="1">IF(OFFSET(PO!N$12,ROW(C217)-ROW(C$12),0)=0,"",OFFSET(PO!N$12,ROW(C217)-ROW(C$12),0))</f>
        <v>ELETRODUTO FLEXÍVEL CORRUGADO REFORÇADO, PVC, DN 25 MM (3/4"), PARA CIRCUITOS TERMINAIS, INSTALADO EM PAREDE - FORNECIMENTO E INSTALAÇÃO. AF_03/2023</v>
      </c>
      <c r="D217" s="111" t="str">
        <f ca="1">IF(OFFSET(PO!O$12,ROW(D217)-ROW(D$12),0)=0,"",OFFSET(PO!O$12,ROW(D217)-ROW(D$12),0))</f>
        <v>M</v>
      </c>
      <c r="E217" s="140">
        <f ca="1">IF($A217&lt;&gt;"Serviço",0,ROUND(SUMIF($F$9:$P$9,"&lt;&gt;",$F217:$P217),15-13*PO!$X$3))</f>
        <v>8</v>
      </c>
      <c r="F217" s="361">
        <f ca="1">OFFSET(PO!$P$12,ROW($E217)-ROW(F$12),0)</f>
        <v>8</v>
      </c>
      <c r="G217" s="361"/>
      <c r="H217" s="361"/>
      <c r="I217" s="361"/>
      <c r="J217" s="361"/>
      <c r="K217" s="361"/>
      <c r="L217" s="361"/>
      <c r="M217" s="361"/>
      <c r="N217" s="361"/>
      <c r="O217" s="361"/>
      <c r="U217" s="182"/>
    </row>
    <row r="218" spans="1:21" s="1" customFormat="1" ht="38.25" x14ac:dyDescent="0.2">
      <c r="A218" s="110" t="str">
        <f ca="1">OFFSET(PO!J$12,ROW(A218)-ROW($A$12),0)</f>
        <v>Serviço</v>
      </c>
      <c r="B218" s="112" t="str">
        <f ca="1">IF($A218=0,"",OFFSET(PO!K$12,ROW(B218)-ROW(B$12),0))</f>
        <v>1.9.5.0.8.</v>
      </c>
      <c r="C218" s="109" t="str">
        <f ca="1">IF(OFFSET(PO!N$12,ROW(C218)-ROW(C$12),0)=0,"",OFFSET(PO!N$12,ROW(C218)-ROW(C$12),0))</f>
        <v>CABO DE COBRE FLEXÍVEL ISOLADO, 2,5 MM², ANTI-CHAMA 450/750 V, PARA CIRCUITOS TERMINAIS - FORNECIMENTO E INSTALAÇÃO. AF_03/2023</v>
      </c>
      <c r="D218" s="111" t="str">
        <f ca="1">IF(OFFSET(PO!O$12,ROW(D218)-ROW(D$12),0)=0,"",OFFSET(PO!O$12,ROW(D218)-ROW(D$12),0))</f>
        <v>M</v>
      </c>
      <c r="E218" s="140">
        <f ca="1">IF($A218&lt;&gt;"Serviço",0,ROUND(SUMIF($F$9:$P$9,"&lt;&gt;",$F218:$P218),15-13*PO!$X$3))</f>
        <v>70</v>
      </c>
      <c r="F218" s="361">
        <f ca="1">OFFSET(PO!$P$12,ROW($E218)-ROW(F$12),0)</f>
        <v>70</v>
      </c>
      <c r="G218" s="361"/>
      <c r="H218" s="361"/>
      <c r="I218" s="361"/>
      <c r="J218" s="361"/>
      <c r="K218" s="361"/>
      <c r="L218" s="361"/>
      <c r="M218" s="361"/>
      <c r="N218" s="361"/>
      <c r="O218" s="361"/>
      <c r="U218" s="182"/>
    </row>
    <row r="219" spans="1:21" s="1" customFormat="1" ht="25.5" x14ac:dyDescent="0.2">
      <c r="A219" s="110" t="str">
        <f ca="1">OFFSET(PO!J$12,ROW(A219)-ROW($A$12),0)</f>
        <v>Serviço</v>
      </c>
      <c r="B219" s="112" t="str">
        <f ca="1">IF($A219=0,"",OFFSET(PO!K$12,ROW(B219)-ROW(B$12),0))</f>
        <v>1.9.5.0.9.</v>
      </c>
      <c r="C219" s="109" t="str">
        <f ca="1">IF(OFFSET(PO!N$12,ROW(C219)-ROW(C$12),0)=0,"",OFFSET(PO!N$12,ROW(C219)-ROW(C$12),0))</f>
        <v>CAIXA SEXTAVADA 3" X 3", METÁLICA, INSTALADA EM LAJE - FORNECIMENTO E INSTALAÇÃO. AF_03/2023</v>
      </c>
      <c r="D219" s="111" t="str">
        <f ca="1">IF(OFFSET(PO!O$12,ROW(D219)-ROW(D$12),0)=0,"",OFFSET(PO!O$12,ROW(D219)-ROW(D$12),0))</f>
        <v>UN</v>
      </c>
      <c r="E219" s="140">
        <f ca="1">IF($A219&lt;&gt;"Serviço",0,ROUND(SUMIF($F$9:$P$9,"&lt;&gt;",$F219:$P219),15-13*PO!$X$3))</f>
        <v>2</v>
      </c>
      <c r="F219" s="361">
        <f ca="1">OFFSET(PO!$P$12,ROW($E219)-ROW(F$12),0)</f>
        <v>2</v>
      </c>
      <c r="G219" s="361"/>
      <c r="H219" s="361"/>
      <c r="I219" s="361"/>
      <c r="J219" s="361"/>
      <c r="K219" s="361"/>
      <c r="L219" s="361"/>
      <c r="M219" s="361"/>
      <c r="N219" s="361"/>
      <c r="O219" s="361"/>
      <c r="U219" s="182"/>
    </row>
    <row r="220" spans="1:21" s="1" customFormat="1" ht="38.25" x14ac:dyDescent="0.2">
      <c r="A220" s="110" t="str">
        <f ca="1">OFFSET(PO!J$12,ROW(A220)-ROW($A$12),0)</f>
        <v>Serviço</v>
      </c>
      <c r="B220" s="112" t="str">
        <f ca="1">IF($A220=0,"",OFFSET(PO!K$12,ROW(B220)-ROW(B$12),0))</f>
        <v>1.9.5.0.10.</v>
      </c>
      <c r="C220" s="109" t="str">
        <f ca="1">IF(OFFSET(PO!N$12,ROW(C220)-ROW(C$12),0)=0,"",OFFSET(PO!N$12,ROW(C220)-ROW(C$12),0))</f>
        <v>INTERRUPTOR SIMPLES (1 MÓDULO) COM 1 TOMADA DE EMBUTIR 2P+T 10 A, INCLUINDO SUPORTE E PLACA - FORNECIMENTO E INSTALAÇÃO. AF_03/2023</v>
      </c>
      <c r="D220" s="111" t="str">
        <f ca="1">IF(OFFSET(PO!O$12,ROW(D220)-ROW(D$12),0)=0,"",OFFSET(PO!O$12,ROW(D220)-ROW(D$12),0))</f>
        <v>UN</v>
      </c>
      <c r="E220" s="140">
        <f ca="1">IF($A220&lt;&gt;"Serviço",0,ROUND(SUMIF($F$9:$P$9,"&lt;&gt;",$F220:$P220),15-13*PO!$X$3))</f>
        <v>4</v>
      </c>
      <c r="F220" s="361">
        <f ca="1">OFFSET(PO!$P$12,ROW($E220)-ROW(F$12),0)</f>
        <v>4</v>
      </c>
      <c r="G220" s="361"/>
      <c r="H220" s="361"/>
      <c r="I220" s="361"/>
      <c r="J220" s="361"/>
      <c r="K220" s="361"/>
      <c r="L220" s="361"/>
      <c r="M220" s="361"/>
      <c r="N220" s="361"/>
      <c r="O220" s="361"/>
      <c r="U220" s="182"/>
    </row>
    <row r="221" spans="1:21" s="1" customFormat="1" ht="38.25" x14ac:dyDescent="0.2">
      <c r="A221" s="110" t="str">
        <f ca="1">OFFSET(PO!J$12,ROW(A221)-ROW($A$12),0)</f>
        <v>Serviço</v>
      </c>
      <c r="B221" s="112" t="str">
        <f ca="1">IF($A221=0,"",OFFSET(PO!K$12,ROW(B221)-ROW(B$12),0))</f>
        <v>1.9.5.0.11.</v>
      </c>
      <c r="C221" s="109" t="str">
        <f ca="1">IF(OFFSET(PO!N$12,ROW(C221)-ROW(C$12),0)=0,"",OFFSET(PO!N$12,ROW(C221)-ROW(C$12),0))</f>
        <v>LUMINÁRIA TIPO PLAFON CIRCULAR, DE SOBREPOR, COM LED DE 18 W, APROX. 1260 LM E DIÂMETRO 21-22 CM - FORNECIMENTO E INSTALAÇÃO</v>
      </c>
      <c r="D221" s="111" t="str">
        <f ca="1">IF(OFFSET(PO!O$12,ROW(D221)-ROW(D$12),0)=0,"",OFFSET(PO!O$12,ROW(D221)-ROW(D$12),0))</f>
        <v>UN</v>
      </c>
      <c r="E221" s="140">
        <f ca="1">IF($A221&lt;&gt;"Serviço",0,ROUND(SUMIF($F$9:$P$9,"&lt;&gt;",$F221:$P221),15-13*PO!$X$3))</f>
        <v>4</v>
      </c>
      <c r="F221" s="361">
        <f ca="1">OFFSET(PO!$P$12,ROW($E221)-ROW(F$12),0)</f>
        <v>4</v>
      </c>
      <c r="G221" s="361"/>
      <c r="H221" s="361"/>
      <c r="I221" s="361"/>
      <c r="J221" s="361"/>
      <c r="K221" s="361"/>
      <c r="L221" s="361"/>
      <c r="M221" s="361"/>
      <c r="N221" s="361"/>
      <c r="O221" s="361"/>
      <c r="U221" s="182"/>
    </row>
    <row r="222" spans="1:21" s="1" customFormat="1" x14ac:dyDescent="0.2">
      <c r="A222" s="110" t="str">
        <f ca="1">OFFSET(PO!J$12,ROW(A222)-ROW($A$12),0)</f>
        <v>Nível 2</v>
      </c>
      <c r="B222" s="112" t="str">
        <f ca="1">IF($A222=0,"",OFFSET(PO!K$12,ROW(B222)-ROW(B$12),0))</f>
        <v>1.10.</v>
      </c>
      <c r="C222" s="109" t="str">
        <f ca="1">IF(OFFSET(PO!N$12,ROW(C222)-ROW(C$12),0)=0,"",OFFSET(PO!N$12,ROW(C222)-ROW(C$12),0))</f>
        <v>REPARO EM TRINCAS</v>
      </c>
      <c r="D222" s="111" t="str">
        <f ca="1">IF(OFFSET(PO!O$12,ROW(D222)-ROW(D$12),0)=0,"",OFFSET(PO!O$12,ROW(D222)-ROW(D$12),0))</f>
        <v/>
      </c>
      <c r="E222" s="140">
        <f ca="1">IF($A222&lt;&gt;"Serviço",0,ROUND(SUMIF($F$9:$P$9,"&lt;&gt;",$F222:$P222),15-13*PO!$X$3))</f>
        <v>0</v>
      </c>
      <c r="F222" s="361">
        <f ca="1">OFFSET(PO!$P$12,ROW($E222)-ROW(F$12),0)</f>
        <v>0</v>
      </c>
      <c r="G222" s="361"/>
      <c r="H222" s="361"/>
      <c r="I222" s="361"/>
      <c r="J222" s="361"/>
      <c r="K222" s="361"/>
      <c r="L222" s="361"/>
      <c r="M222" s="361"/>
      <c r="N222" s="361"/>
      <c r="O222" s="361"/>
      <c r="U222" s="182"/>
    </row>
    <row r="223" spans="1:21" s="1" customFormat="1" ht="25.5" x14ac:dyDescent="0.2">
      <c r="A223" s="110" t="str">
        <f ca="1">OFFSET(PO!J$12,ROW(A223)-ROW($A$12),0)</f>
        <v>Serviço</v>
      </c>
      <c r="B223" s="112" t="str">
        <f ca="1">IF($A223=0,"",OFFSET(PO!K$12,ROW(B223)-ROW(B$12),0))</f>
        <v>1.10.0.0.1.</v>
      </c>
      <c r="C223" s="109" t="str">
        <f ca="1">IF(OFFSET(PO!N$12,ROW(C223)-ROW(C$12),0)=0,"",OFFSET(PO!N$12,ROW(C223)-ROW(C$12),0))</f>
        <v>DEMOLIÇÃO DE ARGAMASSAS, DE FORMA MANUAL, SEM REAPROVEITAMENTO. AF_09/2023</v>
      </c>
      <c r="D223" s="111" t="str">
        <f ca="1">IF(OFFSET(PO!O$12,ROW(D223)-ROW(D$12),0)=0,"",OFFSET(PO!O$12,ROW(D223)-ROW(D$12),0))</f>
        <v>M2</v>
      </c>
      <c r="E223" s="140">
        <f ca="1">IF($A223&lt;&gt;"Serviço",0,ROUND(SUMIF($F$9:$P$9,"&lt;&gt;",$F223:$P223),15-13*PO!$X$3))</f>
        <v>4</v>
      </c>
      <c r="F223" s="361">
        <f ca="1">OFFSET(PO!$P$12,ROW($E223)-ROW(F$12),0)</f>
        <v>4</v>
      </c>
      <c r="G223" s="361"/>
      <c r="H223" s="361"/>
      <c r="I223" s="361"/>
      <c r="J223" s="361"/>
      <c r="K223" s="361"/>
      <c r="L223" s="361"/>
      <c r="M223" s="361"/>
      <c r="N223" s="361"/>
      <c r="O223" s="361"/>
      <c r="U223" s="182"/>
    </row>
    <row r="224" spans="1:21" s="1" customFormat="1" ht="38.25" x14ac:dyDescent="0.2">
      <c r="A224" s="110" t="str">
        <f ca="1">OFFSET(PO!J$12,ROW(A224)-ROW($A$12),0)</f>
        <v>Serviço</v>
      </c>
      <c r="B224" s="112" t="str">
        <f ca="1">IF($A224=0,"",OFFSET(PO!K$12,ROW(B224)-ROW(B$12),0))</f>
        <v>1.10.0.0.2.</v>
      </c>
      <c r="C224" s="109" t="str">
        <f ca="1">IF(OFFSET(PO!N$12,ROW(C224)-ROW(C$12),0)=0,"",OFFSET(PO!N$12,ROW(C224)-ROW(C$12),0))</f>
        <v>TRATAMENTO DE JUNTA DE DILATAÇÃO, COM TARUGO DE POLIETILENO E SELANTE PU, INCLUSO PREENCHIMENTO COM ESPUMA EXPANSIVA PU. AF_09/2023</v>
      </c>
      <c r="D224" s="111" t="str">
        <f ca="1">IF(OFFSET(PO!O$12,ROW(D224)-ROW(D$12),0)=0,"",OFFSET(PO!O$12,ROW(D224)-ROW(D$12),0))</f>
        <v>M</v>
      </c>
      <c r="E224" s="140">
        <f ca="1">IF($A224&lt;&gt;"Serviço",0,ROUND(SUMIF($F$9:$P$9,"&lt;&gt;",$F224:$P224),15-13*PO!$X$3))</f>
        <v>5</v>
      </c>
      <c r="F224" s="361">
        <f ca="1">OFFSET(PO!$P$12,ROW($E224)-ROW(F$12),0)</f>
        <v>5</v>
      </c>
      <c r="G224" s="361"/>
      <c r="H224" s="361"/>
      <c r="I224" s="361"/>
      <c r="J224" s="361"/>
      <c r="K224" s="361"/>
      <c r="L224" s="361"/>
      <c r="M224" s="361"/>
      <c r="N224" s="361"/>
      <c r="O224" s="361"/>
      <c r="U224" s="182"/>
    </row>
    <row r="225" spans="1:21" s="1" customFormat="1" ht="51" x14ac:dyDescent="0.2">
      <c r="A225" s="110" t="str">
        <f ca="1">OFFSET(PO!J$12,ROW(A225)-ROW($A$12),0)</f>
        <v>Serviço</v>
      </c>
      <c r="B225" s="112" t="str">
        <f ca="1">IF($A225=0,"",OFFSET(PO!K$12,ROW(B225)-ROW(B$12),0))</f>
        <v>1.10.0.0.3.</v>
      </c>
      <c r="C225" s="109" t="str">
        <f ca="1">IF(OFFSET(PO!N$12,ROW(C225)-ROW(C$12),0)=0,"",OFFSET(PO!N$12,ROW(C225)-ROW(C$12),0))</f>
        <v>CHAPISCO APLICADO EM ALVENARIA (SEM PRESENÇA DE VÃOS) E ESTRUTURAS DE CONCRETO DE FACHADA, COM COLHER DE PEDREIRO. ARGAMASSA TRAÇO 1:3 COM PREPARO EM BETONEIRA 400L. AF_10/2022</v>
      </c>
      <c r="D225" s="111" t="str">
        <f ca="1">IF(OFFSET(PO!O$12,ROW(D225)-ROW(D$12),0)=0,"",OFFSET(PO!O$12,ROW(D225)-ROW(D$12),0))</f>
        <v>M2</v>
      </c>
      <c r="E225" s="140">
        <f ca="1">IF($A225&lt;&gt;"Serviço",0,ROUND(SUMIF($F$9:$P$9,"&lt;&gt;",$F225:$P225),15-13*PO!$X$3))</f>
        <v>4</v>
      </c>
      <c r="F225" s="361">
        <f ca="1">OFFSET(PO!$P$12,ROW($E225)-ROW(F$12),0)</f>
        <v>4</v>
      </c>
      <c r="G225" s="361"/>
      <c r="H225" s="361"/>
      <c r="I225" s="361"/>
      <c r="J225" s="361"/>
      <c r="K225" s="361"/>
      <c r="L225" s="361"/>
      <c r="M225" s="361"/>
      <c r="N225" s="361"/>
      <c r="O225" s="361"/>
      <c r="U225" s="182"/>
    </row>
    <row r="226" spans="1:21" s="1" customFormat="1" ht="51" x14ac:dyDescent="0.2">
      <c r="A226" s="110" t="str">
        <f ca="1">OFFSET(PO!J$12,ROW(A226)-ROW($A$12),0)</f>
        <v>Serviço</v>
      </c>
      <c r="B226" s="112" t="str">
        <f ca="1">IF($A226=0,"",OFFSET(PO!K$12,ROW(B226)-ROW(B$12),0))</f>
        <v>1.10.0.0.4.</v>
      </c>
      <c r="C226" s="109" t="str">
        <f ca="1">IF(OFFSET(PO!N$12,ROW(C226)-ROW(C$12),0)=0,"",OFFSET(PO!N$12,ROW(C226)-ROW(C$12),0))</f>
        <v>EMBOÇO OU MASSA ÚNICA EM ARGAMASSA TRAÇO 1:2:8, PREPARO MECÂNICO COM BETONEIRA 400 L, APLICADA MANUALMENTE EM PANOS DE FACHADA COM PRESENÇA DE VÃOS, ESPESSURA DE 25 MM. AF_08/2022</v>
      </c>
      <c r="D226" s="111" t="str">
        <f ca="1">IF(OFFSET(PO!O$12,ROW(D226)-ROW(D$12),0)=0,"",OFFSET(PO!O$12,ROW(D226)-ROW(D$12),0))</f>
        <v>M2</v>
      </c>
      <c r="E226" s="140">
        <f ca="1">IF($A226&lt;&gt;"Serviço",0,ROUND(SUMIF($F$9:$P$9,"&lt;&gt;",$F226:$P226),15-13*PO!$X$3))</f>
        <v>4</v>
      </c>
      <c r="F226" s="361">
        <f ca="1">OFFSET(PO!$P$12,ROW($E226)-ROW(F$12),0)</f>
        <v>4</v>
      </c>
      <c r="G226" s="361"/>
      <c r="H226" s="361"/>
      <c r="I226" s="361"/>
      <c r="J226" s="361"/>
      <c r="K226" s="361"/>
      <c r="L226" s="361"/>
      <c r="M226" s="361"/>
      <c r="N226" s="361"/>
      <c r="O226" s="361"/>
      <c r="U226" s="182"/>
    </row>
    <row r="227" spans="1:21" s="1" customFormat="1" ht="25.5" x14ac:dyDescent="0.2">
      <c r="A227" s="110" t="str">
        <f ca="1">OFFSET(PO!J$12,ROW(A227)-ROW($A$12),0)</f>
        <v>Serviço</v>
      </c>
      <c r="B227" s="112" t="str">
        <f ca="1">IF($A227=0,"",OFFSET(PO!K$12,ROW(B227)-ROW(B$12),0))</f>
        <v>1.10.0.0.5.</v>
      </c>
      <c r="C227" s="109" t="str">
        <f ca="1">IF(OFFSET(PO!N$12,ROW(C227)-ROW(C$12),0)=0,"",OFFSET(PO!N$12,ROW(C227)-ROW(C$12),0))</f>
        <v>APLICAÇÃO MANUAL DE FUNDO SELADOR ACRÍLICO EM PAREDES EXTERNAS DE CASAS. AF_03/2024</v>
      </c>
      <c r="D227" s="111" t="str">
        <f ca="1">IF(OFFSET(PO!O$12,ROW(D227)-ROW(D$12),0)=0,"",OFFSET(PO!O$12,ROW(D227)-ROW(D$12),0))</f>
        <v>M2</v>
      </c>
      <c r="E227" s="140">
        <f ca="1">IF($A227&lt;&gt;"Serviço",0,ROUND(SUMIF($F$9:$P$9,"&lt;&gt;",$F227:$P227),15-13*PO!$X$3))</f>
        <v>11.4</v>
      </c>
      <c r="F227" s="361">
        <f ca="1">OFFSET(PO!$P$12,ROW($E227)-ROW(F$12),0)</f>
        <v>11.4</v>
      </c>
      <c r="G227" s="361"/>
      <c r="H227" s="361"/>
      <c r="I227" s="361"/>
      <c r="J227" s="361"/>
      <c r="K227" s="361"/>
      <c r="L227" s="361"/>
      <c r="M227" s="361"/>
      <c r="N227" s="361"/>
      <c r="O227" s="361"/>
      <c r="U227" s="182"/>
    </row>
    <row r="228" spans="1:21" s="1" customFormat="1" ht="25.5" x14ac:dyDescent="0.2">
      <c r="A228" s="110" t="str">
        <f ca="1">OFFSET(PO!J$12,ROW(A228)-ROW($A$12),0)</f>
        <v>Serviço</v>
      </c>
      <c r="B228" s="112" t="str">
        <f ca="1">IF($A228=0,"",OFFSET(PO!K$12,ROW(B228)-ROW(B$12),0))</f>
        <v>1.10.0.0.6.</v>
      </c>
      <c r="C228" s="109" t="str">
        <f ca="1">IF(OFFSET(PO!N$12,ROW(C228)-ROW(C$12),0)=0,"",OFFSET(PO!N$12,ROW(C228)-ROW(C$12),0))</f>
        <v>APLICAÇÃO MANUAL DE MASSA ACRÍLICA EM PAREDES EXTERNAS DE CASAS, DUAS DEMÃOS. AF_03/2024</v>
      </c>
      <c r="D228" s="111" t="str">
        <f ca="1">IF(OFFSET(PO!O$12,ROW(D228)-ROW(D$12),0)=0,"",OFFSET(PO!O$12,ROW(D228)-ROW(D$12),0))</f>
        <v>M2</v>
      </c>
      <c r="E228" s="140">
        <f ca="1">IF($A228&lt;&gt;"Serviço",0,ROUND(SUMIF($F$9:$P$9,"&lt;&gt;",$F228:$P228),15-13*PO!$X$3))</f>
        <v>11.4</v>
      </c>
      <c r="F228" s="361">
        <f ca="1">OFFSET(PO!$P$12,ROW($E228)-ROW(F$12),0)</f>
        <v>11.4</v>
      </c>
      <c r="G228" s="361"/>
      <c r="H228" s="361"/>
      <c r="I228" s="361"/>
      <c r="J228" s="361"/>
      <c r="K228" s="361"/>
      <c r="L228" s="361"/>
      <c r="M228" s="361"/>
      <c r="N228" s="361"/>
      <c r="O228" s="361"/>
      <c r="U228" s="182"/>
    </row>
    <row r="229" spans="1:21" s="1" customFormat="1" ht="25.5" x14ac:dyDescent="0.2">
      <c r="A229" s="110" t="str">
        <f ca="1">OFFSET(PO!J$12,ROW(A229)-ROW($A$12),0)</f>
        <v>Serviço</v>
      </c>
      <c r="B229" s="112" t="str">
        <f ca="1">IF($A229=0,"",OFFSET(PO!K$12,ROW(B229)-ROW(B$12),0))</f>
        <v>1.10.0.0.7.</v>
      </c>
      <c r="C229" s="109" t="str">
        <f ca="1">IF(OFFSET(PO!N$12,ROW(C229)-ROW(C$12),0)=0,"",OFFSET(PO!N$12,ROW(C229)-ROW(C$12),0))</f>
        <v>APLICAÇÃO MANUAL DE TINTA LÁTEX ACRÍLICA EM PAREDE EXTERNAS DE CASAS, DUAS DEMÃOS. AF_03/2024</v>
      </c>
      <c r="D229" s="111" t="str">
        <f ca="1">IF(OFFSET(PO!O$12,ROW(D229)-ROW(D$12),0)=0,"",OFFSET(PO!O$12,ROW(D229)-ROW(D$12),0))</f>
        <v>M2</v>
      </c>
      <c r="E229" s="140">
        <f ca="1">IF($A229&lt;&gt;"Serviço",0,ROUND(SUMIF($F$9:$P$9,"&lt;&gt;",$F229:$P229),15-13*PO!$X$3))</f>
        <v>11.4</v>
      </c>
      <c r="F229" s="361">
        <f ca="1">OFFSET(PO!$P$12,ROW($E229)-ROW(F$12),0)</f>
        <v>11.4</v>
      </c>
      <c r="G229" s="361"/>
      <c r="H229" s="361"/>
      <c r="I229" s="361"/>
      <c r="J229" s="361"/>
      <c r="K229" s="361"/>
      <c r="L229" s="361"/>
      <c r="M229" s="361"/>
      <c r="N229" s="361"/>
      <c r="O229" s="361"/>
      <c r="U229" s="182"/>
    </row>
    <row r="230" spans="1:21" s="1" customFormat="1" x14ac:dyDescent="0.2">
      <c r="A230" s="110" t="str">
        <f ca="1">OFFSET(PO!J$12,ROW(A230)-ROW($A$12),0)</f>
        <v>Nível 2</v>
      </c>
      <c r="B230" s="112" t="str">
        <f ca="1">IF($A230=0,"",OFFSET(PO!K$12,ROW(B230)-ROW(B$12),0))</f>
        <v>1.11.</v>
      </c>
      <c r="C230" s="109" t="str">
        <f ca="1">IF(OFFSET(PO!N$12,ROW(C230)-ROW(C$12),0)=0,"",OFFSET(PO!N$12,ROW(C230)-ROW(C$12),0))</f>
        <v>INSTALAÇÕES PLUVIAIS SUBTERRÂNEAS</v>
      </c>
      <c r="D230" s="111" t="str">
        <f ca="1">IF(OFFSET(PO!O$12,ROW(D230)-ROW(D$12),0)=0,"",OFFSET(PO!O$12,ROW(D230)-ROW(D$12),0))</f>
        <v/>
      </c>
      <c r="E230" s="140">
        <f ca="1">IF($A230&lt;&gt;"Serviço",0,ROUND(SUMIF($F$9:$P$9,"&lt;&gt;",$F230:$P230),15-13*PO!$X$3))</f>
        <v>0</v>
      </c>
      <c r="F230" s="361">
        <f ca="1">OFFSET(PO!$P$12,ROW($E230)-ROW(F$12),0)</f>
        <v>0</v>
      </c>
      <c r="G230" s="361"/>
      <c r="H230" s="361"/>
      <c r="I230" s="361"/>
      <c r="J230" s="361"/>
      <c r="K230" s="361"/>
      <c r="L230" s="361"/>
      <c r="M230" s="361"/>
      <c r="N230" s="361"/>
      <c r="O230" s="361"/>
      <c r="U230" s="182"/>
    </row>
    <row r="231" spans="1:21" s="1" customFormat="1" ht="38.25" x14ac:dyDescent="0.2">
      <c r="A231" s="110" t="str">
        <f ca="1">OFFSET(PO!J$12,ROW(A231)-ROW($A$12),0)</f>
        <v>Serviço</v>
      </c>
      <c r="B231" s="112" t="str">
        <f ca="1">IF($A231=0,"",OFFSET(PO!K$12,ROW(B231)-ROW(B$12),0))</f>
        <v>1.11.0.0.1.</v>
      </c>
      <c r="C231" s="109" t="str">
        <f ca="1">IF(OFFSET(PO!N$12,ROW(C231)-ROW(C$12),0)=0,"",OFFSET(PO!N$12,ROW(C231)-ROW(C$12),0))</f>
        <v>RECOMPOSIÇÃO DE BASE E OU SUB-BASE PARA FECHAMENTO DE VALAS DE BRITA GRADUADA SIMPLES - INCLUSO RETIRADA E COLOCAÇÃO DO MATERIAL. AF_12/2020</v>
      </c>
      <c r="D231" s="111" t="str">
        <f ca="1">IF(OFFSET(PO!O$12,ROW(D231)-ROW(D$12),0)=0,"",OFFSET(PO!O$12,ROW(D231)-ROW(D$12),0))</f>
        <v>M3</v>
      </c>
      <c r="E231" s="140">
        <f ca="1">IF($A231&lt;&gt;"Serviço",0,ROUND(SUMIF($F$9:$P$9,"&lt;&gt;",$F231:$P231),15-13*PO!$X$3))</f>
        <v>0.65</v>
      </c>
      <c r="F231" s="361">
        <f ca="1">OFFSET(PO!$P$12,ROW($E231)-ROW(F$12),0)</f>
        <v>0.65</v>
      </c>
      <c r="G231" s="361"/>
      <c r="H231" s="361"/>
      <c r="I231" s="361"/>
      <c r="J231" s="361"/>
      <c r="K231" s="361"/>
      <c r="L231" s="361"/>
      <c r="M231" s="361"/>
      <c r="N231" s="361"/>
      <c r="O231" s="361"/>
      <c r="U231" s="182"/>
    </row>
    <row r="232" spans="1:21" s="1" customFormat="1" ht="51" x14ac:dyDescent="0.2">
      <c r="A232" s="110" t="str">
        <f ca="1">OFFSET(PO!J$12,ROW(A232)-ROW($A$12),0)</f>
        <v>Serviço</v>
      </c>
      <c r="B232" s="112" t="str">
        <f ca="1">IF($A232=0,"",OFFSET(PO!K$12,ROW(B232)-ROW(B$12),0))</f>
        <v>1.11.0.0.2.</v>
      </c>
      <c r="C232" s="109" t="str">
        <f ca="1">IF(OFFSET(PO!N$12,ROW(C232)-ROW(C$12),0)=0,"",OFFSET(PO!N$12,ROW(C232)-ROW(C$12),0))</f>
        <v>RECOMPOSIÇÃO DE PAVIMENTO EM PISO INTERTRAVADO, COM REAPROVEITAMENTO DOS BLOCOS INTERTRAVADOS, PARA FECHAMENTO DE VALAS - INCLUSO RETIRADA E COLOCAÇÃO DO MATERIAL. AF_12/2020</v>
      </c>
      <c r="D232" s="111" t="str">
        <f ca="1">IF(OFFSET(PO!O$12,ROW(D232)-ROW(D$12),0)=0,"",OFFSET(PO!O$12,ROW(D232)-ROW(D$12),0))</f>
        <v>M2</v>
      </c>
      <c r="E232" s="140">
        <f ca="1">IF($A232&lt;&gt;"Serviço",0,ROUND(SUMIF($F$9:$P$9,"&lt;&gt;",$F232:$P232),15-13*PO!$X$3))</f>
        <v>6.5</v>
      </c>
      <c r="F232" s="361">
        <f ca="1">OFFSET(PO!$P$12,ROW($E232)-ROW(F$12),0)</f>
        <v>6.5</v>
      </c>
      <c r="G232" s="361"/>
      <c r="H232" s="361"/>
      <c r="I232" s="361"/>
      <c r="J232" s="361"/>
      <c r="K232" s="361"/>
      <c r="L232" s="361"/>
      <c r="M232" s="361"/>
      <c r="N232" s="361"/>
      <c r="O232" s="361"/>
      <c r="U232" s="182"/>
    </row>
    <row r="233" spans="1:21" s="1" customFormat="1" x14ac:dyDescent="0.2">
      <c r="A233" s="110" t="str">
        <f ca="1">OFFSET(PO!J$12,ROW(A233)-ROW($A$12),0)</f>
        <v>Serviço</v>
      </c>
      <c r="B233" s="112" t="str">
        <f ca="1">IF($A233=0,"",OFFSET(PO!K$12,ROW(B233)-ROW(B$12),0))</f>
        <v>1.11.0.0.3.</v>
      </c>
      <c r="C233" s="109" t="str">
        <f ca="1">IF(OFFSET(PO!N$12,ROW(C233)-ROW(C$12),0)=0,"",OFFSET(PO!N$12,ROW(C233)-ROW(C$12),0))</f>
        <v>ESCAVAÇÃO MANUAL DE VALA. AF_09/2024</v>
      </c>
      <c r="D233" s="111" t="str">
        <f ca="1">IF(OFFSET(PO!O$12,ROW(D233)-ROW(D$12),0)=0,"",OFFSET(PO!O$12,ROW(D233)-ROW(D$12),0))</f>
        <v>M3</v>
      </c>
      <c r="E233" s="140">
        <f ca="1">IF($A233&lt;&gt;"Serviço",0,ROUND(SUMIF($F$9:$P$9,"&lt;&gt;",$F233:$P233),15-13*PO!$X$3))</f>
        <v>2.6</v>
      </c>
      <c r="F233" s="361">
        <f ca="1">OFFSET(PO!$P$12,ROW($E233)-ROW(F$12),0)</f>
        <v>2.6</v>
      </c>
      <c r="G233" s="361"/>
      <c r="H233" s="361"/>
      <c r="I233" s="361"/>
      <c r="J233" s="361"/>
      <c r="K233" s="361"/>
      <c r="L233" s="361"/>
      <c r="M233" s="361"/>
      <c r="N233" s="361"/>
      <c r="O233" s="361"/>
      <c r="U233" s="182"/>
    </row>
    <row r="234" spans="1:21" s="1" customFormat="1" ht="38.25" x14ac:dyDescent="0.2">
      <c r="A234" s="110" t="str">
        <f ca="1">OFFSET(PO!J$12,ROW(A234)-ROW($A$12),0)</f>
        <v>Serviço</v>
      </c>
      <c r="B234" s="112" t="str">
        <f ca="1">IF($A234=0,"",OFFSET(PO!K$12,ROW(B234)-ROW(B$12),0))</f>
        <v>1.11.0.0.4.</v>
      </c>
      <c r="C234" s="109" t="str">
        <f ca="1">IF(OFFSET(PO!N$12,ROW(C234)-ROW(C$12),0)=0,"",OFFSET(PO!N$12,ROW(C234)-ROW(C$12),0))</f>
        <v>CAIXA ENTERRADA HIDRÁULICA RETANGULAR EM ALVENARIA COM TIJOLOS CERÂMICOS MACIÇOS, DIMENSÕES INTERNAS: 0,6X0,6X0,6 M PARA REDE DE DRENAGEM. AF_12/2020</v>
      </c>
      <c r="D234" s="111" t="str">
        <f ca="1">IF(OFFSET(PO!O$12,ROW(D234)-ROW(D$12),0)=0,"",OFFSET(PO!O$12,ROW(D234)-ROW(D$12),0))</f>
        <v>UN</v>
      </c>
      <c r="E234" s="140">
        <f ca="1">IF($A234&lt;&gt;"Serviço",0,ROUND(SUMIF($F$9:$P$9,"&lt;&gt;",$F234:$P234),15-13*PO!$X$3))</f>
        <v>2</v>
      </c>
      <c r="F234" s="361">
        <f ca="1">OFFSET(PO!$P$12,ROW($E234)-ROW(F$12),0)</f>
        <v>2</v>
      </c>
      <c r="G234" s="361"/>
      <c r="H234" s="361"/>
      <c r="I234" s="361"/>
      <c r="J234" s="361"/>
      <c r="K234" s="361"/>
      <c r="L234" s="361"/>
      <c r="M234" s="361"/>
      <c r="N234" s="361"/>
      <c r="O234" s="361"/>
      <c r="U234" s="182"/>
    </row>
    <row r="235" spans="1:21" s="1" customFormat="1" ht="25.5" x14ac:dyDescent="0.2">
      <c r="A235" s="110" t="str">
        <f ca="1">OFFSET(PO!J$12,ROW(A235)-ROW($A$12),0)</f>
        <v>Serviço</v>
      </c>
      <c r="B235" s="112" t="str">
        <f ca="1">IF($A235=0,"",OFFSET(PO!K$12,ROW(B235)-ROW(B$12),0))</f>
        <v>1.11.0.0.5.</v>
      </c>
      <c r="C235" s="109" t="str">
        <f ca="1">IF(OFFSET(PO!N$12,ROW(C235)-ROW(C$12),0)=0,"",OFFSET(PO!N$12,ROW(C235)-ROW(C$12),0))</f>
        <v>TUBO PVC, SÉRIE R, ÁGUA PLUVIAL, DN 150 MM, FORNECIDO E INSTALADO EM RAMAL DE ENCAMINHAMENTO. AF_06/2022</v>
      </c>
      <c r="D235" s="111" t="str">
        <f ca="1">IF(OFFSET(PO!O$12,ROW(D235)-ROW(D$12),0)=0,"",OFFSET(PO!O$12,ROW(D235)-ROW(D$12),0))</f>
        <v>M</v>
      </c>
      <c r="E235" s="140">
        <f ca="1">IF($A235&lt;&gt;"Serviço",0,ROUND(SUMIF($F$9:$P$9,"&lt;&gt;",$F235:$P235),15-13*PO!$X$3))</f>
        <v>15</v>
      </c>
      <c r="F235" s="361">
        <f ca="1">OFFSET(PO!$P$12,ROW($E235)-ROW(F$12),0)</f>
        <v>15</v>
      </c>
      <c r="G235" s="361"/>
      <c r="H235" s="361"/>
      <c r="I235" s="361"/>
      <c r="J235" s="361"/>
      <c r="K235" s="361"/>
      <c r="L235" s="361"/>
      <c r="M235" s="361"/>
      <c r="N235" s="361"/>
      <c r="O235" s="361"/>
      <c r="U235" s="182"/>
    </row>
    <row r="236" spans="1:21" s="1" customFormat="1" ht="25.5" x14ac:dyDescent="0.2">
      <c r="A236" s="110" t="str">
        <f ca="1">OFFSET(PO!J$12,ROW(A236)-ROW($A$12),0)</f>
        <v>Serviço</v>
      </c>
      <c r="B236" s="112" t="str">
        <f ca="1">IF($A236=0,"",OFFSET(PO!K$12,ROW(B236)-ROW(B$12),0))</f>
        <v>1.11.0.0.6.</v>
      </c>
      <c r="C236" s="109" t="str">
        <f ca="1">IF(OFFSET(PO!N$12,ROW(C236)-ROW(C$12),0)=0,"",OFFSET(PO!N$12,ROW(C236)-ROW(C$12),0))</f>
        <v>REATERRO MANUAL DE VALAS, COM COMPACTADOR DE SOLOS DE PERCUSSÃO. AF_08/2023</v>
      </c>
      <c r="D236" s="111" t="str">
        <f ca="1">IF(OFFSET(PO!O$12,ROW(D236)-ROW(D$12),0)=0,"",OFFSET(PO!O$12,ROW(D236)-ROW(D$12),0))</f>
        <v>M3</v>
      </c>
      <c r="E236" s="140">
        <f ca="1">IF($A236&lt;&gt;"Serviço",0,ROUND(SUMIF($F$9:$P$9,"&lt;&gt;",$F236:$P236),15-13*PO!$X$3))</f>
        <v>2.6</v>
      </c>
      <c r="F236" s="361">
        <f ca="1">OFFSET(PO!$P$12,ROW($E236)-ROW(F$12),0)</f>
        <v>2.6</v>
      </c>
      <c r="G236" s="361"/>
      <c r="H236" s="361"/>
      <c r="I236" s="361"/>
      <c r="J236" s="361"/>
      <c r="K236" s="361"/>
      <c r="L236" s="361"/>
      <c r="M236" s="361"/>
      <c r="N236" s="361"/>
      <c r="O236" s="361"/>
      <c r="U236" s="182"/>
    </row>
    <row r="237" spans="1:21" s="1" customFormat="1" x14ac:dyDescent="0.2">
      <c r="A237" s="110" t="str">
        <f ca="1">OFFSET(PO!J$12,ROW(A237)-ROW($A$12),0)</f>
        <v>Nível 2</v>
      </c>
      <c r="B237" s="112" t="str">
        <f ca="1">IF($A237=0,"",OFFSET(PO!K$12,ROW(B237)-ROW(B$12),0))</f>
        <v>1.12.</v>
      </c>
      <c r="C237" s="109" t="str">
        <f ca="1">IF(OFFSET(PO!N$12,ROW(C237)-ROW(C$12),0)=0,"",OFFSET(PO!N$12,ROW(C237)-ROW(C$12),0))</f>
        <v>SERVIÇOS FINAIS</v>
      </c>
      <c r="D237" s="111" t="str">
        <f ca="1">IF(OFFSET(PO!O$12,ROW(D237)-ROW(D$12),0)=0,"",OFFSET(PO!O$12,ROW(D237)-ROW(D$12),0))</f>
        <v/>
      </c>
      <c r="E237" s="140">
        <f ca="1">IF($A237&lt;&gt;"Serviço",0,ROUND(SUMIF($F$9:$P$9,"&lt;&gt;",$F237:$P237),15-13*PO!$X$3))</f>
        <v>0</v>
      </c>
      <c r="F237" s="361">
        <f ca="1">OFFSET(PO!$P$12,ROW($E237)-ROW(F$12),0)</f>
        <v>0</v>
      </c>
      <c r="G237" s="361"/>
      <c r="H237" s="361"/>
      <c r="I237" s="361"/>
      <c r="J237" s="361"/>
      <c r="K237" s="361"/>
      <c r="L237" s="361"/>
      <c r="M237" s="361"/>
      <c r="N237" s="361"/>
      <c r="O237" s="361"/>
      <c r="U237" s="182"/>
    </row>
    <row r="238" spans="1:21" s="1" customFormat="1" ht="51" x14ac:dyDescent="0.2">
      <c r="A238" s="110" t="str">
        <f ca="1">OFFSET(PO!J$12,ROW(A238)-ROW($A$12),0)</f>
        <v>Serviço</v>
      </c>
      <c r="B238" s="112" t="str">
        <f ca="1">IF($A238=0,"",OFFSET(PO!K$12,ROW(B238)-ROW(B$12),0))</f>
        <v>1.12.0.0.1.</v>
      </c>
      <c r="C238" s="109" t="str">
        <f ca="1">IF(OFFSET(PO!N$12,ROW(C238)-ROW(C$12),0)=0,"",OFFSET(PO!N$12,ROW(C238)-ROW(C$12),0))</f>
        <v>CARGA, MANOBRA E DESCARGA DE ENTULHO EM CAMINHÃO BASCULANTE 6 M³ - CARGA COM ESCAVADEIRA HIDRÁULICA (CAÇAMBA DE 0,80 M³ / 111 HP) E DESCARGA LIVRE (UNIDADE: M3). AF_07/2020</v>
      </c>
      <c r="D238" s="111" t="str">
        <f ca="1">IF(OFFSET(PO!O$12,ROW(D238)-ROW(D$12),0)=0,"",OFFSET(PO!O$12,ROW(D238)-ROW(D$12),0))</f>
        <v>M3</v>
      </c>
      <c r="E238" s="140">
        <f ca="1">IF($A238&lt;&gt;"Serviço",0,ROUND(SUMIF($F$9:$P$9,"&lt;&gt;",$F238:$P238),15-13*PO!$X$3))</f>
        <v>104.44</v>
      </c>
      <c r="F238" s="361">
        <f ca="1">OFFSET(PO!$P$12,ROW($E238)-ROW(F$12),0)</f>
        <v>104.44</v>
      </c>
      <c r="G238" s="361"/>
      <c r="H238" s="361"/>
      <c r="I238" s="361"/>
      <c r="J238" s="361"/>
      <c r="K238" s="361"/>
      <c r="L238" s="361"/>
      <c r="M238" s="361"/>
      <c r="N238" s="361"/>
      <c r="O238" s="361"/>
      <c r="U238" s="182"/>
    </row>
    <row r="239" spans="1:21" s="1" customFormat="1" ht="51" x14ac:dyDescent="0.2">
      <c r="A239" s="110" t="str">
        <f ca="1">OFFSET(PO!J$12,ROW(A239)-ROW($A$12),0)</f>
        <v>Serviço</v>
      </c>
      <c r="B239" s="112" t="str">
        <f ca="1">IF($A239=0,"",OFFSET(PO!K$12,ROW(B239)-ROW(B$12),0))</f>
        <v>1.12.0.0.2.</v>
      </c>
      <c r="C239" s="109" t="str">
        <f ca="1">IF(OFFSET(PO!N$12,ROW(C239)-ROW(C$12),0)=0,"",OFFSET(PO!N$12,ROW(C239)-ROW(C$12),0))</f>
        <v>TRANSPORTE DE MATERIAIS GRANULARES E/OU TRANSPORTE DE ENTULHO PARA LOCAL LICENCIADO, COM CAMINHÃO BASCULANTE DE 6M³, EM VIA URBANA PAVIMENTADA, DMT ATÉ 30KM</v>
      </c>
      <c r="D239" s="111" t="str">
        <f ca="1">IF(OFFSET(PO!O$12,ROW(D239)-ROW(D$12),0)=0,"",OFFSET(PO!O$12,ROW(D239)-ROW(D$12),0))</f>
        <v>M3XKM</v>
      </c>
      <c r="E239" s="140">
        <f ca="1">IF($A239&lt;&gt;"Serviço",0,ROUND(SUMIF($F$9:$P$9,"&lt;&gt;",$F239:$P239),15-13*PO!$X$3))</f>
        <v>1566.6</v>
      </c>
      <c r="F239" s="361">
        <f ca="1">OFFSET(PO!$P$12,ROW($E239)-ROW(F$12),0)</f>
        <v>1566.6</v>
      </c>
      <c r="G239" s="361"/>
      <c r="H239" s="361"/>
      <c r="I239" s="361"/>
      <c r="J239" s="361"/>
      <c r="K239" s="361"/>
      <c r="L239" s="361"/>
      <c r="M239" s="361"/>
      <c r="N239" s="361"/>
      <c r="O239" s="361"/>
      <c r="U239" s="182"/>
    </row>
    <row r="240" spans="1:21" s="1" customFormat="1" ht="25.5" x14ac:dyDescent="0.2">
      <c r="A240" s="110" t="str">
        <f ca="1">OFFSET(PO!J$12,ROW(A240)-ROW($A$12),0)</f>
        <v>Serviço</v>
      </c>
      <c r="B240" s="112" t="str">
        <f ca="1">IF($A240=0,"",OFFSET(PO!K$12,ROW(B240)-ROW(B$12),0))</f>
        <v>1.12.0.0.3.</v>
      </c>
      <c r="C240" s="109" t="str">
        <f ca="1">IF(OFFSET(PO!N$12,ROW(C240)-ROW(C$12),0)=0,"",OFFSET(PO!N$12,ROW(C240)-ROW(C$12),0))</f>
        <v>REMOÇÃO DE TAPUME/ CHAPAS METÁLICAS E DE MADEIRA, DE FORMA MANUAL, SEM REAPROVEITAMENTO. AF_09/2023</v>
      </c>
      <c r="D240" s="111" t="str">
        <f ca="1">IF(OFFSET(PO!O$12,ROW(D240)-ROW(D$12),0)=0,"",OFFSET(PO!O$12,ROW(D240)-ROW(D$12),0))</f>
        <v>M2</v>
      </c>
      <c r="E240" s="140">
        <f ca="1">IF($A240&lt;&gt;"Serviço",0,ROUND(SUMIF($F$9:$P$9,"&lt;&gt;",$F240:$P240),15-13*PO!$X$3))</f>
        <v>50</v>
      </c>
      <c r="F240" s="361">
        <f ca="1">OFFSET(PO!$P$12,ROW($E240)-ROW(F$12),0)</f>
        <v>50</v>
      </c>
      <c r="G240" s="361"/>
      <c r="H240" s="361"/>
      <c r="I240" s="361"/>
      <c r="J240" s="361"/>
      <c r="K240" s="361"/>
      <c r="L240" s="361"/>
      <c r="M240" s="361"/>
      <c r="N240" s="361"/>
      <c r="O240" s="361"/>
      <c r="U240" s="182"/>
    </row>
    <row r="241" spans="1:21" s="1" customFormat="1" x14ac:dyDescent="0.2">
      <c r="A241" s="110" t="str">
        <f ca="1">OFFSET(PO!J$12,ROW(A241)-ROW($A$12),0)</f>
        <v>Serviço</v>
      </c>
      <c r="B241" s="112" t="str">
        <f ca="1">IF($A241=0,"",OFFSET(PO!K$12,ROW(B241)-ROW(B$12),0))</f>
        <v>1.12.0.0.4.</v>
      </c>
      <c r="C241" s="109" t="str">
        <f ca="1">IF(OFFSET(PO!N$12,ROW(C241)-ROW(C$12),0)=0,"",OFFSET(PO!N$12,ROW(C241)-ROW(C$12),0))</f>
        <v>LIMPEZA FINAL DE OBRA</v>
      </c>
      <c r="D241" s="111" t="str">
        <f ca="1">IF(OFFSET(PO!O$12,ROW(D241)-ROW(D$12),0)=0,"",OFFSET(PO!O$12,ROW(D241)-ROW(D$12),0))</f>
        <v>M2</v>
      </c>
      <c r="E241" s="140">
        <f ca="1">IF($A241&lt;&gt;"Serviço",0,ROUND(SUMIF($F$9:$P$9,"&lt;&gt;",$F241:$P241),15-13*PO!$X$3))</f>
        <v>1475.07</v>
      </c>
      <c r="F241" s="361">
        <f ca="1">OFFSET(PO!$P$12,ROW($E241)-ROW(F$12),0)</f>
        <v>1475.07</v>
      </c>
      <c r="G241" s="361"/>
      <c r="H241" s="361"/>
      <c r="I241" s="361"/>
      <c r="J241" s="361"/>
      <c r="K241" s="361"/>
      <c r="L241" s="361"/>
      <c r="M241" s="361"/>
      <c r="N241" s="361"/>
      <c r="O241" s="361"/>
      <c r="U241" s="182"/>
    </row>
    <row r="242" spans="1:21" s="1" customFormat="1" x14ac:dyDescent="0.2">
      <c r="A242" s="69"/>
      <c r="B242" s="69"/>
      <c r="C242" s="69"/>
      <c r="D242" s="69"/>
      <c r="E242" s="69"/>
      <c r="F242" s="69"/>
      <c r="G242" s="69"/>
      <c r="H242" s="69"/>
      <c r="I242" s="69"/>
      <c r="J242" s="69"/>
      <c r="K242" s="69"/>
      <c r="L242" s="69"/>
      <c r="M242" s="69"/>
      <c r="N242" s="69"/>
      <c r="O242" s="69"/>
      <c r="U242" s="69"/>
    </row>
    <row r="243" spans="1:21" s="1" customFormat="1" x14ac:dyDescent="0.2">
      <c r="B243" s="4"/>
      <c r="C243" s="10"/>
      <c r="D243" s="4"/>
      <c r="E243" s="12"/>
      <c r="F243" s="12"/>
      <c r="G243" s="12"/>
      <c r="H243" s="12"/>
      <c r="I243" s="12"/>
      <c r="J243" s="12"/>
      <c r="K243" s="12"/>
      <c r="L243" s="12"/>
      <c r="M243" s="12"/>
      <c r="N243" s="12"/>
      <c r="O243" s="12"/>
      <c r="U243" s="12"/>
    </row>
    <row r="244" spans="1:21" s="1" customFormat="1" x14ac:dyDescent="0.2">
      <c r="B244" s="329" t="str">
        <f>PO!$K$253</f>
        <v>BENTO GONÇALVES/RS</v>
      </c>
      <c r="C244" s="329"/>
      <c r="D244" s="4"/>
      <c r="E244" s="12"/>
      <c r="F244" s="12"/>
      <c r="G244" s="12"/>
      <c r="H244" s="12"/>
      <c r="I244" s="12"/>
      <c r="J244" s="12"/>
      <c r="K244" s="12"/>
      <c r="L244" s="12"/>
      <c r="M244" s="12"/>
      <c r="N244" s="12"/>
      <c r="O244" s="12"/>
      <c r="U244" s="12"/>
    </row>
    <row r="245" spans="1:21" s="1" customFormat="1" x14ac:dyDescent="0.2">
      <c r="B245" s="98" t="s">
        <v>120</v>
      </c>
      <c r="C245" s="10"/>
      <c r="D245" s="4"/>
      <c r="E245" s="12"/>
      <c r="F245" s="12"/>
      <c r="G245" s="12"/>
      <c r="H245" s="12"/>
      <c r="I245" s="12"/>
      <c r="J245" s="12"/>
      <c r="K245" s="12"/>
      <c r="L245" s="12"/>
      <c r="M245" s="12"/>
      <c r="N245" s="12"/>
      <c r="O245" s="12"/>
      <c r="U245" s="12"/>
    </row>
    <row r="246" spans="1:21" s="1" customFormat="1" x14ac:dyDescent="0.2">
      <c r="B246" s="10"/>
      <c r="C246" s="10"/>
      <c r="D246" s="4"/>
      <c r="E246" s="12"/>
      <c r="F246" s="12"/>
      <c r="G246" s="12"/>
      <c r="H246" s="12"/>
      <c r="I246" s="12"/>
      <c r="J246" s="12"/>
      <c r="K246" s="12"/>
      <c r="L246" s="12"/>
      <c r="M246" s="12"/>
      <c r="N246" s="12"/>
      <c r="O246" s="12"/>
      <c r="U246" s="12"/>
    </row>
    <row r="247" spans="1:21" s="1" customFormat="1" x14ac:dyDescent="0.2">
      <c r="B247" s="330">
        <f ca="1">PO!$K$256</f>
        <v>45810</v>
      </c>
      <c r="C247" s="330"/>
      <c r="D247" s="4"/>
      <c r="E247" s="12"/>
      <c r="F247" s="12"/>
      <c r="G247" s="12"/>
      <c r="H247" s="12"/>
      <c r="I247" s="12"/>
      <c r="J247" s="12"/>
      <c r="K247" s="12"/>
      <c r="L247" s="12"/>
      <c r="M247" s="12"/>
      <c r="N247" s="12"/>
      <c r="O247" s="12"/>
      <c r="U247" s="12"/>
    </row>
    <row r="248" spans="1:21" s="1" customFormat="1" x14ac:dyDescent="0.2">
      <c r="B248" s="120" t="s">
        <v>121</v>
      </c>
      <c r="C248" s="121"/>
      <c r="D248" s="4"/>
      <c r="E248" s="12"/>
      <c r="F248" s="12"/>
      <c r="G248" s="12"/>
      <c r="H248" s="12"/>
      <c r="I248" s="12"/>
      <c r="J248" s="12"/>
      <c r="K248" s="12"/>
      <c r="L248" s="12"/>
      <c r="M248" s="12"/>
      <c r="N248" s="12"/>
      <c r="O248" s="12"/>
      <c r="U248" s="12"/>
    </row>
  </sheetData>
  <sheetProtection password="C95B" sheet="1" objects="1" scenarios="1"/>
  <mergeCells count="2">
    <mergeCell ref="B244:C244"/>
    <mergeCell ref="B247:C247"/>
  </mergeCells>
  <phoneticPr fontId="25" type="noConversion"/>
  <conditionalFormatting sqref="D11:E11 D13:E13 D18:E21 D192:E192 D23:E29 D31:E31 D76:E88 D98:E100 D107:E111 D92:E94 D65:E74 D36:E63 D171:E186 D194:E241">
    <cfRule type="expression" dxfId="330" priority="3306" stopIfTrue="1">
      <formula>$A11="Meta"</formula>
    </cfRule>
    <cfRule type="expression" dxfId="329" priority="3307" stopIfTrue="1">
      <formula>$A11&lt;&gt;"Serviço"</formula>
    </cfRule>
  </conditionalFormatting>
  <conditionalFormatting sqref="C11 C13 C18:C21 C192 C23:C29 C31 C76:C88 C98:C100 C107:C111 C92:C94 C65:C74 C36:C63 C171:C186 C194:C241">
    <cfRule type="expression" dxfId="328" priority="3308" stopIfTrue="1">
      <formula>$A11="Meta"</formula>
    </cfRule>
    <cfRule type="expression" dxfId="327" priority="3309" stopIfTrue="1">
      <formula>$A11&lt;&gt;"Serviço"</formula>
    </cfRule>
  </conditionalFormatting>
  <conditionalFormatting sqref="A11:B11 A13:B13 A18:B21 A192:B192 A23:B29 A31:B31 A76:B88 A98:B100 A107:B111 A92:B94 A65:B74 A36:B63 A171:B186 A194:B241">
    <cfRule type="expression" dxfId="326" priority="3310" stopIfTrue="1">
      <formula>$A11="Meta"</formula>
    </cfRule>
    <cfRule type="expression" dxfId="325" priority="3311" stopIfTrue="1">
      <formula>LEFT($A11,5)="Nível"</formula>
    </cfRule>
    <cfRule type="expression" dxfId="324" priority="3312" stopIfTrue="1">
      <formula>$A11=0</formula>
    </cfRule>
  </conditionalFormatting>
  <conditionalFormatting sqref="U11 U13:U14 F13:O14 F16:O241 U16:U241">
    <cfRule type="expression" dxfId="323" priority="3322" stopIfTrue="1">
      <formula>$A11="Meta"</formula>
    </cfRule>
    <cfRule type="expression" dxfId="322" priority="3323" stopIfTrue="1">
      <formula>OR(F$9=0,$A11&lt;&gt;"Serviço")</formula>
    </cfRule>
    <cfRule type="expression" dxfId="321" priority="3324" stopIfTrue="1">
      <formula>TipoOrçamento="Licitado"</formula>
    </cfRule>
  </conditionalFormatting>
  <conditionalFormatting sqref="U9">
    <cfRule type="expression" dxfId="320" priority="2744" stopIfTrue="1">
      <formula>AND(T9=0,U9=0)</formula>
    </cfRule>
    <cfRule type="expression" dxfId="319" priority="2745" stopIfTrue="1">
      <formula>TipoOrçamento="Licitado"</formula>
    </cfRule>
  </conditionalFormatting>
  <conditionalFormatting sqref="F11:O11">
    <cfRule type="expression" dxfId="318" priority="2704" stopIfTrue="1">
      <formula>$A11="Meta"</formula>
    </cfRule>
    <cfRule type="expression" dxfId="317" priority="2705" stopIfTrue="1">
      <formula>OR(F$9=0,$A11&lt;&gt;"Serviço")</formula>
    </cfRule>
    <cfRule type="expression" dxfId="316" priority="2706" stopIfTrue="1">
      <formula>TipoOrçamento="Licitado"</formula>
    </cfRule>
  </conditionalFormatting>
  <conditionalFormatting sqref="F9:O9">
    <cfRule type="expression" dxfId="315" priority="2702" stopIfTrue="1">
      <formula>AND(E9=0,F9=0)</formula>
    </cfRule>
    <cfRule type="expression" dxfId="314" priority="2703" stopIfTrue="1">
      <formula>TipoOrçamento="Licitado"</formula>
    </cfRule>
  </conditionalFormatting>
  <conditionalFormatting sqref="D16:E16">
    <cfRule type="expression" dxfId="313" priority="1203" stopIfTrue="1">
      <formula>$A16="Meta"</formula>
    </cfRule>
    <cfRule type="expression" dxfId="312" priority="1204" stopIfTrue="1">
      <formula>$A16&lt;&gt;"Serviço"</formula>
    </cfRule>
  </conditionalFormatting>
  <conditionalFormatting sqref="C16">
    <cfRule type="expression" dxfId="311" priority="1205" stopIfTrue="1">
      <formula>$A16="Meta"</formula>
    </cfRule>
    <cfRule type="expression" dxfId="310" priority="1206" stopIfTrue="1">
      <formula>$A16&lt;&gt;"Serviço"</formula>
    </cfRule>
  </conditionalFormatting>
  <conditionalFormatting sqref="A16:B16">
    <cfRule type="expression" dxfId="309" priority="1207" stopIfTrue="1">
      <formula>$A16="Meta"</formula>
    </cfRule>
    <cfRule type="expression" dxfId="308" priority="1208" stopIfTrue="1">
      <formula>LEFT($A16,5)="Nível"</formula>
    </cfRule>
    <cfRule type="expression" dxfId="307" priority="1209" stopIfTrue="1">
      <formula>$A16=0</formula>
    </cfRule>
  </conditionalFormatting>
  <conditionalFormatting sqref="D17:E17">
    <cfRule type="expression" dxfId="306" priority="1190" stopIfTrue="1">
      <formula>$A17="Meta"</formula>
    </cfRule>
    <cfRule type="expression" dxfId="305" priority="1191" stopIfTrue="1">
      <formula>$A17&lt;&gt;"Serviço"</formula>
    </cfRule>
  </conditionalFormatting>
  <conditionalFormatting sqref="C17">
    <cfRule type="expression" dxfId="304" priority="1192" stopIfTrue="1">
      <formula>$A17="Meta"</formula>
    </cfRule>
    <cfRule type="expression" dxfId="303" priority="1193" stopIfTrue="1">
      <formula>$A17&lt;&gt;"Serviço"</formula>
    </cfRule>
  </conditionalFormatting>
  <conditionalFormatting sqref="A17:B17">
    <cfRule type="expression" dxfId="302" priority="1194" stopIfTrue="1">
      <formula>$A17="Meta"</formula>
    </cfRule>
    <cfRule type="expression" dxfId="301" priority="1195" stopIfTrue="1">
      <formula>LEFT($A17,5)="Nível"</formula>
    </cfRule>
    <cfRule type="expression" dxfId="300" priority="1196" stopIfTrue="1">
      <formula>$A17=0</formula>
    </cfRule>
  </conditionalFormatting>
  <conditionalFormatting sqref="D189:E189 D187:E187">
    <cfRule type="expression" dxfId="299" priority="1125" stopIfTrue="1">
      <formula>$A187="Meta"</formula>
    </cfRule>
    <cfRule type="expression" dxfId="298" priority="1126" stopIfTrue="1">
      <formula>$A187&lt;&gt;"Serviço"</formula>
    </cfRule>
  </conditionalFormatting>
  <conditionalFormatting sqref="C189 C187">
    <cfRule type="expression" dxfId="297" priority="1127" stopIfTrue="1">
      <formula>$A187="Meta"</formula>
    </cfRule>
    <cfRule type="expression" dxfId="296" priority="1128" stopIfTrue="1">
      <formula>$A187&lt;&gt;"Serviço"</formula>
    </cfRule>
  </conditionalFormatting>
  <conditionalFormatting sqref="A189:B189 A187:B187">
    <cfRule type="expression" dxfId="295" priority="1129" stopIfTrue="1">
      <formula>$A187="Meta"</formula>
    </cfRule>
    <cfRule type="expression" dxfId="294" priority="1130" stopIfTrue="1">
      <formula>LEFT($A187,5)="Nível"</formula>
    </cfRule>
    <cfRule type="expression" dxfId="293" priority="1131" stopIfTrue="1">
      <formula>$A187=0</formula>
    </cfRule>
  </conditionalFormatting>
  <conditionalFormatting sqref="D190:E191">
    <cfRule type="expression" dxfId="292" priority="1040" stopIfTrue="1">
      <formula>$A190="Meta"</formula>
    </cfRule>
    <cfRule type="expression" dxfId="291" priority="1041" stopIfTrue="1">
      <formula>$A190&lt;&gt;"Serviço"</formula>
    </cfRule>
  </conditionalFormatting>
  <conditionalFormatting sqref="C190:C191">
    <cfRule type="expression" dxfId="290" priority="1042" stopIfTrue="1">
      <formula>$A190="Meta"</formula>
    </cfRule>
    <cfRule type="expression" dxfId="289" priority="1043" stopIfTrue="1">
      <formula>$A190&lt;&gt;"Serviço"</formula>
    </cfRule>
  </conditionalFormatting>
  <conditionalFormatting sqref="A190:B191">
    <cfRule type="expression" dxfId="288" priority="1044" stopIfTrue="1">
      <formula>$A190="Meta"</formula>
    </cfRule>
    <cfRule type="expression" dxfId="287" priority="1045" stopIfTrue="1">
      <formula>LEFT($A190,5)="Nível"</formula>
    </cfRule>
    <cfRule type="expression" dxfId="286" priority="1046" stopIfTrue="1">
      <formula>$A190=0</formula>
    </cfRule>
  </conditionalFormatting>
  <conditionalFormatting sqref="D188:E188">
    <cfRule type="expression" dxfId="285" priority="649" stopIfTrue="1">
      <formula>$A188="Meta"</formula>
    </cfRule>
    <cfRule type="expression" dxfId="284" priority="650" stopIfTrue="1">
      <formula>$A188&lt;&gt;"Serviço"</formula>
    </cfRule>
  </conditionalFormatting>
  <conditionalFormatting sqref="C188">
    <cfRule type="expression" dxfId="283" priority="651" stopIfTrue="1">
      <formula>$A188="Meta"</formula>
    </cfRule>
    <cfRule type="expression" dxfId="282" priority="652" stopIfTrue="1">
      <formula>$A188&lt;&gt;"Serviço"</formula>
    </cfRule>
  </conditionalFormatting>
  <conditionalFormatting sqref="A188:B188">
    <cfRule type="expression" dxfId="281" priority="653" stopIfTrue="1">
      <formula>$A188="Meta"</formula>
    </cfRule>
    <cfRule type="expression" dxfId="280" priority="654" stopIfTrue="1">
      <formula>LEFT($A188,5)="Nível"</formula>
    </cfRule>
    <cfRule type="expression" dxfId="279" priority="655" stopIfTrue="1">
      <formula>$A188=0</formula>
    </cfRule>
  </conditionalFormatting>
  <conditionalFormatting sqref="D75:E75">
    <cfRule type="expression" dxfId="278" priority="446" stopIfTrue="1">
      <formula>$A75="Meta"</formula>
    </cfRule>
    <cfRule type="expression" dxfId="277" priority="447" stopIfTrue="1">
      <formula>$A75&lt;&gt;"Serviço"</formula>
    </cfRule>
  </conditionalFormatting>
  <conditionalFormatting sqref="C75">
    <cfRule type="expression" dxfId="276" priority="448" stopIfTrue="1">
      <formula>$A75="Meta"</formula>
    </cfRule>
    <cfRule type="expression" dxfId="275" priority="449" stopIfTrue="1">
      <formula>$A75&lt;&gt;"Serviço"</formula>
    </cfRule>
  </conditionalFormatting>
  <conditionalFormatting sqref="A75:B75">
    <cfRule type="expression" dxfId="274" priority="450" stopIfTrue="1">
      <formula>$A75="Meta"</formula>
    </cfRule>
    <cfRule type="expression" dxfId="273" priority="451" stopIfTrue="1">
      <formula>LEFT($A75,5)="Nível"</formula>
    </cfRule>
    <cfRule type="expression" dxfId="272" priority="452" stopIfTrue="1">
      <formula>$A75=0</formula>
    </cfRule>
  </conditionalFormatting>
  <conditionalFormatting sqref="D104:E106">
    <cfRule type="expression" dxfId="271" priority="420" stopIfTrue="1">
      <formula>$A104="Meta"</formula>
    </cfRule>
    <cfRule type="expression" dxfId="270" priority="421" stopIfTrue="1">
      <formula>$A104&lt;&gt;"Serviço"</formula>
    </cfRule>
  </conditionalFormatting>
  <conditionalFormatting sqref="C104:C106">
    <cfRule type="expression" dxfId="269" priority="422" stopIfTrue="1">
      <formula>$A104="Meta"</formula>
    </cfRule>
    <cfRule type="expression" dxfId="268" priority="423" stopIfTrue="1">
      <formula>$A104&lt;&gt;"Serviço"</formula>
    </cfRule>
  </conditionalFormatting>
  <conditionalFormatting sqref="A104:B106">
    <cfRule type="expression" dxfId="267" priority="424" stopIfTrue="1">
      <formula>$A104="Meta"</formula>
    </cfRule>
    <cfRule type="expression" dxfId="266" priority="425" stopIfTrue="1">
      <formula>LEFT($A104,5)="Nível"</formula>
    </cfRule>
    <cfRule type="expression" dxfId="265" priority="426" stopIfTrue="1">
      <formula>$A104=0</formula>
    </cfRule>
  </conditionalFormatting>
  <conditionalFormatting sqref="D89:E90">
    <cfRule type="expression" dxfId="264" priority="407" stopIfTrue="1">
      <formula>$A89="Meta"</formula>
    </cfRule>
    <cfRule type="expression" dxfId="263" priority="408" stopIfTrue="1">
      <formula>$A89&lt;&gt;"Serviço"</formula>
    </cfRule>
  </conditionalFormatting>
  <conditionalFormatting sqref="C89:C90">
    <cfRule type="expression" dxfId="262" priority="409" stopIfTrue="1">
      <formula>$A89="Meta"</formula>
    </cfRule>
    <cfRule type="expression" dxfId="261" priority="410" stopIfTrue="1">
      <formula>$A89&lt;&gt;"Serviço"</formula>
    </cfRule>
  </conditionalFormatting>
  <conditionalFormatting sqref="A89:B90">
    <cfRule type="expression" dxfId="260" priority="411" stopIfTrue="1">
      <formula>$A89="Meta"</formula>
    </cfRule>
    <cfRule type="expression" dxfId="259" priority="412" stopIfTrue="1">
      <formula>LEFT($A89,5)="Nível"</formula>
    </cfRule>
    <cfRule type="expression" dxfId="258" priority="413" stopIfTrue="1">
      <formula>$A89=0</formula>
    </cfRule>
  </conditionalFormatting>
  <conditionalFormatting sqref="D95:E96">
    <cfRule type="expression" dxfId="257" priority="342" stopIfTrue="1">
      <formula>$A95="Meta"</formula>
    </cfRule>
    <cfRule type="expression" dxfId="256" priority="343" stopIfTrue="1">
      <formula>$A95&lt;&gt;"Serviço"</formula>
    </cfRule>
  </conditionalFormatting>
  <conditionalFormatting sqref="C95:C96">
    <cfRule type="expression" dxfId="255" priority="344" stopIfTrue="1">
      <formula>$A95="Meta"</formula>
    </cfRule>
    <cfRule type="expression" dxfId="254" priority="345" stopIfTrue="1">
      <formula>$A95&lt;&gt;"Serviço"</formula>
    </cfRule>
  </conditionalFormatting>
  <conditionalFormatting sqref="A95:B96">
    <cfRule type="expression" dxfId="253" priority="346" stopIfTrue="1">
      <formula>$A95="Meta"</formula>
    </cfRule>
    <cfRule type="expression" dxfId="252" priority="347" stopIfTrue="1">
      <formula>LEFT($A95,5)="Nível"</formula>
    </cfRule>
    <cfRule type="expression" dxfId="251" priority="348" stopIfTrue="1">
      <formula>$A95=0</formula>
    </cfRule>
  </conditionalFormatting>
  <conditionalFormatting sqref="D193:E193">
    <cfRule type="expression" dxfId="250" priority="329" stopIfTrue="1">
      <formula>$A193="Meta"</formula>
    </cfRule>
    <cfRule type="expression" dxfId="249" priority="330" stopIfTrue="1">
      <formula>$A193&lt;&gt;"Serviço"</formula>
    </cfRule>
  </conditionalFormatting>
  <conditionalFormatting sqref="C193">
    <cfRule type="expression" dxfId="248" priority="331" stopIfTrue="1">
      <formula>$A193="Meta"</formula>
    </cfRule>
    <cfRule type="expression" dxfId="247" priority="332" stopIfTrue="1">
      <formula>$A193&lt;&gt;"Serviço"</formula>
    </cfRule>
  </conditionalFormatting>
  <conditionalFormatting sqref="A193:B193">
    <cfRule type="expression" dxfId="246" priority="333" stopIfTrue="1">
      <formula>$A193="Meta"</formula>
    </cfRule>
    <cfRule type="expression" dxfId="245" priority="334" stopIfTrue="1">
      <formula>LEFT($A193,5)="Nível"</formula>
    </cfRule>
    <cfRule type="expression" dxfId="244" priority="335" stopIfTrue="1">
      <formula>$A193=0</formula>
    </cfRule>
  </conditionalFormatting>
  <conditionalFormatting sqref="D22:E22">
    <cfRule type="expression" dxfId="243" priority="303" stopIfTrue="1">
      <formula>$A22="Meta"</formula>
    </cfRule>
    <cfRule type="expression" dxfId="242" priority="304" stopIfTrue="1">
      <formula>$A22&lt;&gt;"Serviço"</formula>
    </cfRule>
  </conditionalFormatting>
  <conditionalFormatting sqref="C22">
    <cfRule type="expression" dxfId="241" priority="305" stopIfTrue="1">
      <formula>$A22="Meta"</formula>
    </cfRule>
    <cfRule type="expression" dxfId="240" priority="306" stopIfTrue="1">
      <formula>$A22&lt;&gt;"Serviço"</formula>
    </cfRule>
  </conditionalFormatting>
  <conditionalFormatting sqref="A22:B22">
    <cfRule type="expression" dxfId="239" priority="307" stopIfTrue="1">
      <formula>$A22="Meta"</formula>
    </cfRule>
    <cfRule type="expression" dxfId="238" priority="308" stopIfTrue="1">
      <formula>LEFT($A22,5)="Nível"</formula>
    </cfRule>
    <cfRule type="expression" dxfId="237" priority="309" stopIfTrue="1">
      <formula>$A22=0</formula>
    </cfRule>
  </conditionalFormatting>
  <conditionalFormatting sqref="D30:E30">
    <cfRule type="expression" dxfId="236" priority="290" stopIfTrue="1">
      <formula>$A30="Meta"</formula>
    </cfRule>
    <cfRule type="expression" dxfId="235" priority="291" stopIfTrue="1">
      <formula>$A30&lt;&gt;"Serviço"</formula>
    </cfRule>
  </conditionalFormatting>
  <conditionalFormatting sqref="C30">
    <cfRule type="expression" dxfId="234" priority="292" stopIfTrue="1">
      <formula>$A30="Meta"</formula>
    </cfRule>
    <cfRule type="expression" dxfId="233" priority="293" stopIfTrue="1">
      <formula>$A30&lt;&gt;"Serviço"</formula>
    </cfRule>
  </conditionalFormatting>
  <conditionalFormatting sqref="A30:B30">
    <cfRule type="expression" dxfId="232" priority="294" stopIfTrue="1">
      <formula>$A30="Meta"</formula>
    </cfRule>
    <cfRule type="expression" dxfId="231" priority="295" stopIfTrue="1">
      <formula>LEFT($A30,5)="Nível"</formula>
    </cfRule>
    <cfRule type="expression" dxfId="230" priority="296" stopIfTrue="1">
      <formula>$A30=0</formula>
    </cfRule>
  </conditionalFormatting>
  <conditionalFormatting sqref="D97:E97">
    <cfRule type="expression" dxfId="229" priority="277" stopIfTrue="1">
      <formula>$A97="Meta"</formula>
    </cfRule>
    <cfRule type="expression" dxfId="228" priority="278" stopIfTrue="1">
      <formula>$A97&lt;&gt;"Serviço"</formula>
    </cfRule>
  </conditionalFormatting>
  <conditionalFormatting sqref="C97">
    <cfRule type="expression" dxfId="227" priority="279" stopIfTrue="1">
      <formula>$A97="Meta"</formula>
    </cfRule>
    <cfRule type="expression" dxfId="226" priority="280" stopIfTrue="1">
      <formula>$A97&lt;&gt;"Serviço"</formula>
    </cfRule>
  </conditionalFormatting>
  <conditionalFormatting sqref="A97:B97">
    <cfRule type="expression" dxfId="225" priority="281" stopIfTrue="1">
      <formula>$A97="Meta"</formula>
    </cfRule>
    <cfRule type="expression" dxfId="224" priority="282" stopIfTrue="1">
      <formula>LEFT($A97,5)="Nível"</formula>
    </cfRule>
    <cfRule type="expression" dxfId="223" priority="283" stopIfTrue="1">
      <formula>$A97=0</formula>
    </cfRule>
  </conditionalFormatting>
  <conditionalFormatting sqref="D91:E91">
    <cfRule type="expression" dxfId="222" priority="160" stopIfTrue="1">
      <formula>$A91="Meta"</formula>
    </cfRule>
    <cfRule type="expression" dxfId="221" priority="161" stopIfTrue="1">
      <formula>$A91&lt;&gt;"Serviço"</formula>
    </cfRule>
  </conditionalFormatting>
  <conditionalFormatting sqref="C91">
    <cfRule type="expression" dxfId="220" priority="162" stopIfTrue="1">
      <formula>$A91="Meta"</formula>
    </cfRule>
    <cfRule type="expression" dxfId="219" priority="163" stopIfTrue="1">
      <formula>$A91&lt;&gt;"Serviço"</formula>
    </cfRule>
  </conditionalFormatting>
  <conditionalFormatting sqref="A91:B91">
    <cfRule type="expression" dxfId="218" priority="164" stopIfTrue="1">
      <formula>$A91="Meta"</formula>
    </cfRule>
    <cfRule type="expression" dxfId="217" priority="165" stopIfTrue="1">
      <formula>LEFT($A91,5)="Nível"</formula>
    </cfRule>
    <cfRule type="expression" dxfId="216" priority="166" stopIfTrue="1">
      <formula>$A91=0</formula>
    </cfRule>
  </conditionalFormatting>
  <conditionalFormatting sqref="D64:E64">
    <cfRule type="expression" dxfId="215" priority="121" stopIfTrue="1">
      <formula>$A64="Meta"</formula>
    </cfRule>
    <cfRule type="expression" dxfId="214" priority="122" stopIfTrue="1">
      <formula>$A64&lt;&gt;"Serviço"</formula>
    </cfRule>
  </conditionalFormatting>
  <conditionalFormatting sqref="C64">
    <cfRule type="expression" dxfId="213" priority="123" stopIfTrue="1">
      <formula>$A64="Meta"</formula>
    </cfRule>
    <cfRule type="expression" dxfId="212" priority="124" stopIfTrue="1">
      <formula>$A64&lt;&gt;"Serviço"</formula>
    </cfRule>
  </conditionalFormatting>
  <conditionalFormatting sqref="A64:B64">
    <cfRule type="expression" dxfId="211" priority="125" stopIfTrue="1">
      <formula>$A64="Meta"</formula>
    </cfRule>
    <cfRule type="expression" dxfId="210" priority="126" stopIfTrue="1">
      <formula>LEFT($A64,5)="Nível"</formula>
    </cfRule>
    <cfRule type="expression" dxfId="209" priority="127" stopIfTrue="1">
      <formula>$A64=0</formula>
    </cfRule>
  </conditionalFormatting>
  <conditionalFormatting sqref="D32:E35">
    <cfRule type="expression" dxfId="208" priority="108" stopIfTrue="1">
      <formula>$A32="Meta"</formula>
    </cfRule>
    <cfRule type="expression" dxfId="207" priority="109" stopIfTrue="1">
      <formula>$A32&lt;&gt;"Serviço"</formula>
    </cfRule>
  </conditionalFormatting>
  <conditionalFormatting sqref="C32:C35">
    <cfRule type="expression" dxfId="206" priority="110" stopIfTrue="1">
      <formula>$A32="Meta"</formula>
    </cfRule>
    <cfRule type="expression" dxfId="205" priority="111" stopIfTrue="1">
      <formula>$A32&lt;&gt;"Serviço"</formula>
    </cfRule>
  </conditionalFormatting>
  <conditionalFormatting sqref="A32:B35">
    <cfRule type="expression" dxfId="204" priority="112" stopIfTrue="1">
      <formula>$A32="Meta"</formula>
    </cfRule>
    <cfRule type="expression" dxfId="203" priority="113" stopIfTrue="1">
      <formula>LEFT($A32,5)="Nível"</formula>
    </cfRule>
    <cfRule type="expression" dxfId="202" priority="114" stopIfTrue="1">
      <formula>$A32=0</formula>
    </cfRule>
  </conditionalFormatting>
  <conditionalFormatting sqref="D101:E103">
    <cfRule type="expression" dxfId="201" priority="95" stopIfTrue="1">
      <formula>$A101="Meta"</formula>
    </cfRule>
    <cfRule type="expression" dxfId="200" priority="96" stopIfTrue="1">
      <formula>$A101&lt;&gt;"Serviço"</formula>
    </cfRule>
  </conditionalFormatting>
  <conditionalFormatting sqref="C101:C103">
    <cfRule type="expression" dxfId="199" priority="97" stopIfTrue="1">
      <formula>$A101="Meta"</formula>
    </cfRule>
    <cfRule type="expression" dxfId="198" priority="98" stopIfTrue="1">
      <formula>$A101&lt;&gt;"Serviço"</formula>
    </cfRule>
  </conditionalFormatting>
  <conditionalFormatting sqref="A101:B103">
    <cfRule type="expression" dxfId="197" priority="99" stopIfTrue="1">
      <formula>$A101="Meta"</formula>
    </cfRule>
    <cfRule type="expression" dxfId="196" priority="100" stopIfTrue="1">
      <formula>LEFT($A101,5)="Nível"</formula>
    </cfRule>
    <cfRule type="expression" dxfId="195" priority="101" stopIfTrue="1">
      <formula>$A101=0</formula>
    </cfRule>
  </conditionalFormatting>
  <conditionalFormatting sqref="D112:E170">
    <cfRule type="expression" dxfId="194" priority="82" stopIfTrue="1">
      <formula>$A112="Meta"</formula>
    </cfRule>
    <cfRule type="expression" dxfId="193" priority="83" stopIfTrue="1">
      <formula>$A112&lt;&gt;"Serviço"</formula>
    </cfRule>
  </conditionalFormatting>
  <conditionalFormatting sqref="C112:C170">
    <cfRule type="expression" dxfId="192" priority="84" stopIfTrue="1">
      <formula>$A112="Meta"</formula>
    </cfRule>
    <cfRule type="expression" dxfId="191" priority="85" stopIfTrue="1">
      <formula>$A112&lt;&gt;"Serviço"</formula>
    </cfRule>
  </conditionalFormatting>
  <conditionalFormatting sqref="A112:B170">
    <cfRule type="expression" dxfId="190" priority="86" stopIfTrue="1">
      <formula>$A112="Meta"</formula>
    </cfRule>
    <cfRule type="expression" dxfId="189" priority="87" stopIfTrue="1">
      <formula>LEFT($A112,5)="Nível"</formula>
    </cfRule>
    <cfRule type="expression" dxfId="188" priority="88" stopIfTrue="1">
      <formula>$A112=0</formula>
    </cfRule>
  </conditionalFormatting>
  <conditionalFormatting sqref="D14:E14">
    <cfRule type="expression" dxfId="187" priority="17" stopIfTrue="1">
      <formula>$A14="Meta"</formula>
    </cfRule>
    <cfRule type="expression" dxfId="186" priority="18" stopIfTrue="1">
      <formula>$A14&lt;&gt;"Serviço"</formula>
    </cfRule>
  </conditionalFormatting>
  <conditionalFormatting sqref="C14">
    <cfRule type="expression" dxfId="185" priority="19" stopIfTrue="1">
      <formula>$A14="Meta"</formula>
    </cfRule>
    <cfRule type="expression" dxfId="184" priority="20" stopIfTrue="1">
      <formula>$A14&lt;&gt;"Serviço"</formula>
    </cfRule>
  </conditionalFormatting>
  <conditionalFormatting sqref="A14:B14">
    <cfRule type="expression" dxfId="183" priority="21" stopIfTrue="1">
      <formula>$A14="Meta"</formula>
    </cfRule>
    <cfRule type="expression" dxfId="182" priority="22" stopIfTrue="1">
      <formula>LEFT($A14,5)="Nível"</formula>
    </cfRule>
    <cfRule type="expression" dxfId="181" priority="23" stopIfTrue="1">
      <formula>$A14=0</formula>
    </cfRule>
  </conditionalFormatting>
  <conditionalFormatting sqref="D15:E15">
    <cfRule type="expression" dxfId="15" priority="4" stopIfTrue="1">
      <formula>$A15="Meta"</formula>
    </cfRule>
    <cfRule type="expression" dxfId="14" priority="5" stopIfTrue="1">
      <formula>$A15&lt;&gt;"Serviço"</formula>
    </cfRule>
  </conditionalFormatting>
  <conditionalFormatting sqref="C15">
    <cfRule type="expression" dxfId="13" priority="6" stopIfTrue="1">
      <formula>$A15="Meta"</formula>
    </cfRule>
    <cfRule type="expression" dxfId="12" priority="7" stopIfTrue="1">
      <formula>$A15&lt;&gt;"Serviço"</formula>
    </cfRule>
  </conditionalFormatting>
  <conditionalFormatting sqref="A15:B15">
    <cfRule type="expression" dxfId="11" priority="8" stopIfTrue="1">
      <formula>$A15="Meta"</formula>
    </cfRule>
    <cfRule type="expression" dxfId="10" priority="9" stopIfTrue="1">
      <formula>LEFT($A15,5)="Nível"</formula>
    </cfRule>
    <cfRule type="expression" dxfId="9" priority="10" stopIfTrue="1">
      <formula>$A15=0</formula>
    </cfRule>
  </conditionalFormatting>
  <conditionalFormatting sqref="U15">
    <cfRule type="expression" dxfId="8" priority="11" stopIfTrue="1">
      <formula>$A15="Meta"</formula>
    </cfRule>
    <cfRule type="expression" dxfId="7" priority="12" stopIfTrue="1">
      <formula>OR(U$9=0,$A15&lt;&gt;"Serviço")</formula>
    </cfRule>
    <cfRule type="expression" dxfId="6" priority="13" stopIfTrue="1">
      <formula>TipoOrçamento="Licitado"</formula>
    </cfRule>
  </conditionalFormatting>
  <conditionalFormatting sqref="F15:O15">
    <cfRule type="expression" dxfId="5" priority="1" stopIfTrue="1">
      <formula>$A15="Meta"</formula>
    </cfRule>
    <cfRule type="expression" dxfId="4" priority="2" stopIfTrue="1">
      <formula>OR(F$9=0,$A15&lt;&gt;"Serviço")</formula>
    </cfRule>
    <cfRule type="expression" dxfId="3"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41 U14:U24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247 B244"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4"/>
  <sheetViews>
    <sheetView showGridLines="0" view="pageBreakPreview" topLeftCell="L1" zoomScale="70" zoomScaleSheetLayoutView="70" workbookViewId="0">
      <selection activeCell="Q15" sqref="Q15"/>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51" t="str">
        <f ca="1">IF(MAX($A$14:$A$55)&lt;&gt;MAX(PO!$V$12:$V$242),"ERRO: CRONOGRAMA DESATUALIZADO",IF(OR(COUNTIF($O$16:$X$16,"&gt;1")&gt;0,OFFSET($X$17,0,-1)&lt;&gt;$N$14),"ERRO: CRONOGRAMA NÃO FECHA EM 100%",""))</f>
        <v>ERRO: CRONOGRAMA DESATUALIZADO</v>
      </c>
      <c r="M8" s="351"/>
      <c r="N8" s="136" t="str">
        <f>IF(TipoOrçamento="REPROGRAMADOAC","Qtde de Medições realizadas","")</f>
        <v/>
      </c>
      <c r="O8" s="151"/>
      <c r="P8"/>
      <c r="Q8"/>
      <c r="R8"/>
      <c r="S8"/>
      <c r="T8"/>
      <c r="U8"/>
      <c r="V8"/>
      <c r="W8"/>
      <c r="X8"/>
      <c r="AC8"/>
    </row>
    <row r="9" spans="1:29" s="32" customFormat="1" ht="14.1" customHeight="1" x14ac:dyDescent="0.2">
      <c r="A9" s="141">
        <v>1</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10/05/25</v>
      </c>
      <c r="P10" s="186" t="str">
        <f ca="1">IF(AND(TipoOrçamento="REPROGRAMADOAC",$N$9&gt;0,N10="Valores Totais (R$)"),"Parcela "&amp;$N$9&amp;" Executado","Parcela "&amp;P$9&amp;CHAR(10)&amp;TEXT(DATE(YEAR(DADOS!$A$48),MONTH(DADOS!$A$48)+P$9-IF(AND(TipoOrçamento="REPROGRAMADOAC",$N$9&gt;0),$N$9,0),1),"mmm/aa"))</f>
        <v>Parcela 1
jun/25</v>
      </c>
      <c r="Q10" s="177" t="str">
        <f ca="1">IF(AND(TipoOrçamento="REPROGRAMADOAC",$N$9&gt;0,O10="Valores Totais (R$)"),"Parcela "&amp;$N$9&amp;" Executado","Parcela "&amp;Q$9&amp;CHAR(10)&amp;TEXT(DATE(YEAR(DADOS!$A$48),MONTH(DADOS!$A$48)+Q$9-IF(AND(TipoOrçamento="REPROGRAMADOAC",$N$9&gt;0),$N$9,0),1),"mmm/aa"))</f>
        <v>Parcela 2
jul/25</v>
      </c>
      <c r="R10" s="177" t="str">
        <f ca="1">IF(AND(TipoOrçamento="REPROGRAMADOAC",$N$9&gt;0,P10="Valores Totais (R$)"),"Parcela "&amp;$N$9&amp;" Executado","Parcela "&amp;R$9&amp;CHAR(10)&amp;TEXT(DATE(YEAR(DADOS!$A$48),MONTH(DADOS!$A$48)+R$9-IF(AND(TipoOrçamento="REPROGRAMADOAC",$N$9&gt;0),$N$9,0),1),"mmm/aa"))</f>
        <v>Parcela 3
ago/25</v>
      </c>
      <c r="S10" s="177" t="str">
        <f ca="1">IF(AND(TipoOrçamento="REPROGRAMADOAC",$N$9&gt;0,Q10="Valores Totais (R$)"),"Parcela "&amp;$N$9&amp;" Executado","Parcela "&amp;S$9&amp;CHAR(10)&amp;TEXT(DATE(YEAR(DADOS!$A$48),MONTH(DADOS!$A$48)+S$9-IF(AND(TipoOrçamento="REPROGRAMADOAC",$N$9&gt;0),$N$9,0),1),"mmm/aa"))</f>
        <v>Parcela 4
set/25</v>
      </c>
      <c r="T10" s="177" t="str">
        <f ca="1">IF(AND(TipoOrçamento="REPROGRAMADOAC",$N$9&gt;0,R10="Valores Totais (R$)"),"Parcela "&amp;$N$9&amp;" Executado","Parcela "&amp;T$9&amp;CHAR(10)&amp;TEXT(DATE(YEAR(DADOS!$A$48),MONTH(DADOS!$A$48)+T$9-IF(AND(TipoOrçamento="REPROGRAMADOAC",$N$9&gt;0),$N$9,0),1),"mmm/aa"))</f>
        <v>Parcela 5
out/25</v>
      </c>
      <c r="U10" s="177" t="str">
        <f ca="1">IF(AND(TipoOrçamento="REPROGRAMADOAC",$N$9&gt;0,S10="Valores Totais (R$)"),"Parcela "&amp;$N$9&amp;" Executado","Parcela "&amp;U$9&amp;CHAR(10)&amp;TEXT(DATE(YEAR(DADOS!$A$48),MONTH(DADOS!$A$48)+U$9-IF(AND(TipoOrçamento="REPROGRAMADOAC",$N$9&gt;0),$N$9,0),1),"mmm/aa"))</f>
        <v>Parcela 6
nov/25</v>
      </c>
      <c r="V10" s="177" t="str">
        <f ca="1">IF(AND(TipoOrçamento="REPROGRAMADOAC",$N$9&gt;0,T10="Valores Totais (R$)"),"Parcela "&amp;$N$9&amp;" Executado","Parcela "&amp;V$9&amp;CHAR(10)&amp;TEXT(DATE(YEAR(DADOS!$A$48),MONTH(DADOS!$A$48)+V$9-IF(AND(TipoOrçamento="REPROGRAMADOAC",$N$9&gt;0),$N$9,0),1),"mmm/aa"))</f>
        <v>Parcela 7
dez/25</v>
      </c>
      <c r="W10" s="189" t="str">
        <f ca="1">IF(AND(TipoOrçamento="REPROGRAMADOAC",$N$9&gt;0,U10="Valores Totais (R$)"),"Parcela "&amp;$N$9&amp;" Executado","Parcela "&amp;W$9&amp;CHAR(10)&amp;TEXT(DATE(YEAR(DADOS!$A$48),MONTH(DADOS!$A$48)+W$9-IF(AND(TipoOrçamento="REPROGRAMADOAC",$N$9&gt;0),$N$9,0),1),"mmm/aa"))</f>
        <v>Parcela 8
jan/26</v>
      </c>
      <c r="X10" s="162"/>
      <c r="AC10" s="177" t="str">
        <f ca="1">IF(AND(TipoOrçamento="REPROGRAMADOAC",$N$9&gt;0,AA10="Valores Totais (R$)"),"Parcela "&amp;$N$9&amp;" Executado","Parcela "&amp;AC$9&amp;CHAR(10)&amp;TEXT(DATE(YEAR(DADOS!$A$48),MONTH(DADOS!$A$48)+AC$9-IF(AND(TipoOrçamento="REPROGRAMADOAC",$N$9&gt;0),$N$9,0),1),"mmm/aa"))</f>
        <v>Parcela 1
jun/25</v>
      </c>
    </row>
    <row r="11" spans="1:29" customFormat="1" ht="14.25" hidden="1" customHeight="1" x14ac:dyDescent="0.2">
      <c r="A11" s="1"/>
      <c r="B11" s="1"/>
      <c r="C11" s="1"/>
      <c r="D11" s="1"/>
      <c r="E11" s="1"/>
      <c r="F11" s="1"/>
      <c r="G11" s="1"/>
      <c r="H11" s="1"/>
      <c r="I11" s="1"/>
      <c r="J11" s="1"/>
      <c r="K11" s="1"/>
      <c r="L11" s="331" t="e">
        <f ca="1">INDEX(PO!K$12:K$242,MATCH($A13,PO!$V$12:$V$242,0))</f>
        <v>#VALUE!</v>
      </c>
      <c r="M11" s="333" t="e">
        <f ca="1">INDEX(PO!N$12:N$242,MATCH($A13,PO!$V$12:$V$242,0))</f>
        <v>#VALUE!</v>
      </c>
      <c r="N11" s="335"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2"/>
      <c r="M12" s="334"/>
      <c r="N12" s="336"/>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INDEX(PO!A$12:A$242,MATCH($A13,PO!$V$12:$V$242,0))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MATCH(0,OFFSET($D13,1,$C13,ROW($A$54)-ROW($A13)),0)</f>
        <v>#VALUE!</v>
      </c>
      <c r="J13" s="11" t="e">
        <f ca="1">MATCH(OFFSET($D13,0,$C13)+1,OFFSET($D13,1,$C13,ROW($A$54)-ROW($A13)),0)</f>
        <v>#VALUE!</v>
      </c>
      <c r="K13" s="156" t="e">
        <f ca="1">ROUND(INDEX(PO!T$12:T$242,MATCH($A13,PO!$V$12:$V$242,0)),2)+10^-12</f>
        <v>#VALUE!</v>
      </c>
      <c r="L13" s="332"/>
      <c r="M13" s="334"/>
      <c r="N13" s="336"/>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2" t="s">
        <v>19</v>
      </c>
      <c r="M14" s="343"/>
      <c r="N14" s="348">
        <f ca="1">IF(PO!$T$12=0,10^-12,PO!$T$12)</f>
        <v>9.9999999999999998E-13</v>
      </c>
      <c r="O14" s="142" t="s">
        <v>143</v>
      </c>
      <c r="P14" s="172" t="e">
        <f ca="1">ROUND(P15/$N14,4)</f>
        <v>#N/A</v>
      </c>
      <c r="Q14" s="173" t="e">
        <f t="shared" ref="Q14:W14" ca="1" si="4">ROUND(Q15/$N14,4)</f>
        <v>#N/A</v>
      </c>
      <c r="R14" s="173" t="e">
        <f t="shared" ca="1" si="4"/>
        <v>#N/A</v>
      </c>
      <c r="S14" s="173" t="e">
        <f t="shared" ca="1" si="4"/>
        <v>#N/A</v>
      </c>
      <c r="T14" s="173" t="e">
        <f t="shared" ca="1" si="4"/>
        <v>#N/A</v>
      </c>
      <c r="U14" s="173" t="e">
        <f t="shared" ca="1" si="4"/>
        <v>#N/A</v>
      </c>
      <c r="V14" s="173" t="e">
        <f t="shared" ca="1" si="4"/>
        <v>#N/A</v>
      </c>
      <c r="W14" s="173" t="e">
        <f t="shared" ca="1" si="4"/>
        <v>#N/A</v>
      </c>
      <c r="X14" s="146"/>
      <c r="AC14" s="173" t="e">
        <f ca="1">ROUND(AC15/$N14,4)</f>
        <v>#N/A</v>
      </c>
    </row>
    <row r="15" spans="1:29" s="35" customFormat="1" ht="12.75" customHeight="1" x14ac:dyDescent="0.2">
      <c r="A15"/>
      <c r="B15"/>
      <c r="C15"/>
      <c r="D15"/>
      <c r="E15"/>
      <c r="F15"/>
      <c r="G15"/>
      <c r="H15"/>
      <c r="I15"/>
      <c r="J15"/>
      <c r="K15"/>
      <c r="L15" s="344"/>
      <c r="M15" s="345"/>
      <c r="N15" s="349"/>
      <c r="O15" s="132" t="s">
        <v>144</v>
      </c>
      <c r="P15" s="167" t="e">
        <f ca="1">P17-IF(ISNUMBER(O17),O17,0)</f>
        <v>#N/A</v>
      </c>
      <c r="Q15" s="127" t="e">
        <f t="shared" ref="Q15:W15" ca="1" si="5">Q17-IF(ISNUMBER(P17),P17,0)</f>
        <v>#N/A</v>
      </c>
      <c r="R15" s="127" t="e">
        <f t="shared" ca="1" si="5"/>
        <v>#N/A</v>
      </c>
      <c r="S15" s="127" t="e">
        <f t="shared" ca="1" si="5"/>
        <v>#N/A</v>
      </c>
      <c r="T15" s="127" t="e">
        <f t="shared" ca="1" si="5"/>
        <v>#N/A</v>
      </c>
      <c r="U15" s="127" t="e">
        <f t="shared" ca="1" si="5"/>
        <v>#N/A</v>
      </c>
      <c r="V15" s="127" t="e">
        <f t="shared" ca="1" si="5"/>
        <v>#N/A</v>
      </c>
      <c r="W15" s="127" t="e">
        <f t="shared" ca="1" si="5"/>
        <v>#N/A</v>
      </c>
      <c r="X15" s="146"/>
      <c r="AC15" s="127" t="e">
        <f ca="1">AC17-IF(ISNUMBER(AB17),AB17,0)</f>
        <v>#N/A</v>
      </c>
    </row>
    <row r="16" spans="1:29" s="35" customFormat="1" ht="12.75" customHeight="1" x14ac:dyDescent="0.2">
      <c r="A16"/>
      <c r="B16"/>
      <c r="C16"/>
      <c r="D16"/>
      <c r="E16"/>
      <c r="F16"/>
      <c r="G16"/>
      <c r="H16"/>
      <c r="I16"/>
      <c r="J16"/>
      <c r="K16"/>
      <c r="L16" s="344"/>
      <c r="M16" s="345"/>
      <c r="N16" s="349"/>
      <c r="O16" s="133" t="s">
        <v>145</v>
      </c>
      <c r="P16" s="168" t="e">
        <f ca="1">ROUND(P17/$N14,4)</f>
        <v>#N/A</v>
      </c>
      <c r="Q16" s="128" t="e">
        <f t="shared" ref="Q16:W16" ca="1" si="6">ROUND(Q17/$N14,4)</f>
        <v>#N/A</v>
      </c>
      <c r="R16" s="128" t="e">
        <f t="shared" ca="1" si="6"/>
        <v>#N/A</v>
      </c>
      <c r="S16" s="128" t="e">
        <f t="shared" ca="1" si="6"/>
        <v>#N/A</v>
      </c>
      <c r="T16" s="128" t="e">
        <f t="shared" ca="1" si="6"/>
        <v>#N/A</v>
      </c>
      <c r="U16" s="128" t="e">
        <f t="shared" ca="1" si="6"/>
        <v>#N/A</v>
      </c>
      <c r="V16" s="128" t="e">
        <f t="shared" ca="1" si="6"/>
        <v>#N/A</v>
      </c>
      <c r="W16" s="128" t="e">
        <f t="shared" ca="1" si="6"/>
        <v>#N/A</v>
      </c>
      <c r="X16" s="146"/>
      <c r="AC16" s="128" t="e">
        <f ca="1">ROUND(AC17/$N14,4)</f>
        <v>#N/A</v>
      </c>
    </row>
    <row r="17" spans="1:29" s="35" customFormat="1" ht="12.75" customHeight="1" x14ac:dyDescent="0.2">
      <c r="A17" s="19">
        <v>0</v>
      </c>
      <c r="B17"/>
      <c r="C17"/>
      <c r="D17" s="19">
        <f>ROW(D$54)-ROW(D18)</f>
        <v>36</v>
      </c>
      <c r="E17"/>
      <c r="F17"/>
      <c r="G17"/>
      <c r="H17"/>
      <c r="I17"/>
      <c r="J17"/>
      <c r="K17"/>
      <c r="L17" s="346"/>
      <c r="M17" s="347"/>
      <c r="N17" s="350"/>
      <c r="O17" s="134" t="s">
        <v>20</v>
      </c>
      <c r="P17" s="169" t="e">
        <f ca="1">SUMIF(OFFSET($C17,1,0):$C$54,1,OFFSET(P17,1,0):P$54)</f>
        <v>#N/A</v>
      </c>
      <c r="Q17" s="129" t="e">
        <f ca="1">SUMIF(OFFSET($C17,1,0):$C$54,1,OFFSET(Q17,1,0):Q$54)</f>
        <v>#N/A</v>
      </c>
      <c r="R17" s="129" t="e">
        <f ca="1">SUMIF(OFFSET($C17,1,0):$C$54,1,OFFSET(R17,1,0):R$54)</f>
        <v>#N/A</v>
      </c>
      <c r="S17" s="129" t="e">
        <f ca="1">SUMIF(OFFSET($C17,1,0):$C$54,1,OFFSET(S17,1,0):S$54)</f>
        <v>#N/A</v>
      </c>
      <c r="T17" s="129" t="e">
        <f ca="1">SUMIF(OFFSET($C17,1,0):$C$54,1,OFFSET(T17,1,0):T$54)</f>
        <v>#N/A</v>
      </c>
      <c r="U17" s="129" t="e">
        <f ca="1">SUMIF(OFFSET($C17,1,0):$C$54,1,OFFSET(U17,1,0):U$54)</f>
        <v>#N/A</v>
      </c>
      <c r="V17" s="129" t="e">
        <f ca="1">SUMIF(OFFSET($C17,1,0):$C$54,1,OFFSET(V17,1,0):V$54)</f>
        <v>#N/A</v>
      </c>
      <c r="W17" s="129" t="e">
        <f ca="1">SUMIF(OFFSET($C17,1,0):$C$54,1,OFFSET(W17,1,0):W$54)</f>
        <v>#N/A</v>
      </c>
      <c r="X17" s="146"/>
      <c r="AC17" s="129" t="e">
        <f ca="1">SUMIF(OFFSET($C17,1,0):$C$54,1,OFFSET(AC17,1,0):AC$54)</f>
        <v>#N/A</v>
      </c>
    </row>
    <row r="18" spans="1:29" customFormat="1" ht="14.25" customHeight="1" x14ac:dyDescent="0.2">
      <c r="L18" s="331" t="str">
        <f ca="1">INDEX(PO!K$12:K$242,MATCH($A20,PO!$V$12:$V$242,0))</f>
        <v>1.</v>
      </c>
      <c r="M18" s="333" t="str">
        <f ca="1">INDEX(PO!N$12:N$242,MATCH($A20,PO!$V$12:$V$242,0))</f>
        <v>REFORMA DE COBERTURAS, FORROS E ELÉTRICA - EMEF PRINCESA ISABEL</v>
      </c>
      <c r="N18" s="335">
        <f ca="1">IF(ROUND(K20,2)=0,K20,ROUND(K20,2))</f>
        <v>9.9999999999999998E-13</v>
      </c>
      <c r="O18" s="170" t="s">
        <v>143</v>
      </c>
      <c r="P18" s="192">
        <v>1</v>
      </c>
      <c r="Q18" s="193"/>
      <c r="R18" s="193"/>
      <c r="S18" s="193"/>
      <c r="T18" s="193"/>
      <c r="U18" s="193"/>
      <c r="V18" s="193"/>
      <c r="W18" s="194"/>
      <c r="X18" s="164" t="s">
        <v>106</v>
      </c>
      <c r="AC18" s="188" t="e">
        <f ca="1">IF($B20,0,AC19-IF(ISNUMBER(AB19),AB19,0))</f>
        <v>#N/A</v>
      </c>
    </row>
    <row r="19" spans="1:29" customFormat="1" ht="14.25" x14ac:dyDescent="0.2">
      <c r="L19" s="332"/>
      <c r="M19" s="334"/>
      <c r="N19" s="336"/>
      <c r="O19" s="145" t="s">
        <v>145</v>
      </c>
      <c r="P19" s="165" t="e">
        <f t="shared" ref="P19:W19" ca="1" si="7">MIN(IF($B20,P18+IF(ISNUMBER(O19),O19,0),P20/$N18),1)</f>
        <v>#N/A</v>
      </c>
      <c r="Q19" s="143" t="e">
        <f t="shared" ca="1" si="7"/>
        <v>#N/A</v>
      </c>
      <c r="R19" s="143" t="e">
        <f t="shared" ca="1" si="7"/>
        <v>#N/A</v>
      </c>
      <c r="S19" s="143" t="e">
        <f t="shared" ca="1" si="7"/>
        <v>#N/A</v>
      </c>
      <c r="T19" s="143" t="e">
        <f t="shared" ca="1" si="7"/>
        <v>#N/A</v>
      </c>
      <c r="U19" s="143" t="e">
        <f t="shared" ca="1" si="7"/>
        <v>#N/A</v>
      </c>
      <c r="V19" s="143" t="e">
        <f t="shared" ca="1" si="7"/>
        <v>#N/A</v>
      </c>
      <c r="W19" s="143" t="e">
        <f t="shared" ca="1" si="7"/>
        <v>#N/A</v>
      </c>
      <c r="X19" s="163"/>
      <c r="AC19" s="143" t="e">
        <f ca="1">MIN(IF($B20,AC18+IF(ISNUMBER(AB19),AB19,0),AC20/$N18),1)</f>
        <v>#N/A</v>
      </c>
    </row>
    <row r="20" spans="1:29" customFormat="1" ht="14.25" x14ac:dyDescent="0.2">
      <c r="A20" s="19">
        <f ca="1">OFFSET(A20,-CFF.NumLinha,0)+1</f>
        <v>1</v>
      </c>
      <c r="B20" t="e">
        <f ca="1">$C20&gt;=OFFSET($C20,CFF.NumLinha,0)</f>
        <v>#N/A</v>
      </c>
      <c r="C20" s="11">
        <f ca="1">INDEX(PO!A$12:A$242,MATCH($A20,PO!$V$12:$V$242,0))</f>
        <v>1</v>
      </c>
      <c r="D20" s="11">
        <f ca="1">IF(ISERROR(J20),I20,SMALL(I20:J20,1))-1</f>
        <v>33</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MATCH(0,OFFSET($D20,1,$C20,ROW($A$54)-ROW($A20)),0)</f>
        <v>34</v>
      </c>
      <c r="J20" s="11" t="e">
        <f ca="1">MATCH(OFFSET($D20,0,$C20)+1,OFFSET($D20,1,$C20,ROW($A$54)-ROW($A20)),0)</f>
        <v>#N/A</v>
      </c>
      <c r="K20" s="156">
        <f ca="1">ROUND(INDEX(PO!T$12:T$242,MATCH($A20,PO!$V$12:$V$242,0)),2)+10^-12</f>
        <v>9.9999999999999998E-13</v>
      </c>
      <c r="L20" s="332"/>
      <c r="M20" s="334"/>
      <c r="N20" s="336"/>
      <c r="O20" s="171" t="s">
        <v>20</v>
      </c>
      <c r="P20" s="166" t="e">
        <f t="shared" ref="P20:W20" ca="1" si="8">IF($B20,ROUND(P19*$N18,2),ROUND(SUMIF(OFFSET($B20,1,0,$D20),TRUE,OFFSET(P20,1,0,$D20))/SUMIF(OFFSET($B20,1,0,$D20),TRUE,OFFSET($K20,1,0,$D20))*$N18,2))</f>
        <v>#N/A</v>
      </c>
      <c r="Q20" s="144" t="e">
        <f t="shared" ca="1" si="8"/>
        <v>#N/A</v>
      </c>
      <c r="R20" s="144" t="e">
        <f t="shared" ca="1" si="8"/>
        <v>#N/A</v>
      </c>
      <c r="S20" s="144" t="e">
        <f t="shared" ca="1" si="8"/>
        <v>#N/A</v>
      </c>
      <c r="T20" s="144" t="e">
        <f t="shared" ca="1" si="8"/>
        <v>#N/A</v>
      </c>
      <c r="U20" s="144" t="e">
        <f t="shared" ca="1" si="8"/>
        <v>#N/A</v>
      </c>
      <c r="V20" s="144" t="e">
        <f t="shared" ca="1" si="8"/>
        <v>#N/A</v>
      </c>
      <c r="W20" s="174" t="e">
        <f t="shared" ca="1" si="8"/>
        <v>#N/A</v>
      </c>
      <c r="X20" s="163"/>
      <c r="AC20" s="144" t="e">
        <f ca="1">IF($B20,ROUND(AC19*$N18,2),ROUND(SUMIF(OFFSET($B20,1,0,$D20),TRUE,OFFSET(AC20,1,0,$D20))/SUMIF(OFFSET($B20,1,0,$D20),TRUE,OFFSET($K20,1,0,$D20))*$N18,2))</f>
        <v>#N/A</v>
      </c>
    </row>
    <row r="21" spans="1:29" customFormat="1" ht="14.25" customHeight="1" x14ac:dyDescent="0.2">
      <c r="A21" s="1"/>
      <c r="B21" s="1"/>
      <c r="C21" s="1"/>
      <c r="D21" s="1"/>
      <c r="E21" s="1"/>
      <c r="F21" s="1"/>
      <c r="G21" s="1"/>
      <c r="H21" s="1"/>
      <c r="I21" s="1"/>
      <c r="J21" s="1"/>
      <c r="K21" s="1"/>
      <c r="L21" s="331" t="e">
        <f ca="1">INDEX(PO!K$12:K$242,MATCH($A23,PO!$V$12:$V$242,0))</f>
        <v>#N/A</v>
      </c>
      <c r="M21" s="333" t="e">
        <f ca="1">INDEX(PO!N$12:N$242,MATCH($A23,PO!$V$12:$V$242,0))</f>
        <v>#N/A</v>
      </c>
      <c r="N21" s="335" t="e">
        <f ca="1">IF(ROUND(K23,2)=0,K23,ROUND(K23,2))</f>
        <v>#N/A</v>
      </c>
      <c r="O21" s="187" t="s">
        <v>143</v>
      </c>
      <c r="P21" s="192">
        <v>1</v>
      </c>
      <c r="Q21" s="193" t="e">
        <f t="shared" ref="Q21" ca="1" si="9">IF($B23,0,Q22-IF(ISNUMBER(P22),P22,0))</f>
        <v>#N/A</v>
      </c>
      <c r="R21" s="193" t="e">
        <f t="shared" ref="R21" ca="1" si="10">IF($B23,0,R22-IF(ISNUMBER(Q22),Q22,0))</f>
        <v>#N/A</v>
      </c>
      <c r="S21" s="193" t="e">
        <f t="shared" ref="S21" ca="1" si="11">IF($B23,0,S22-IF(ISNUMBER(R22),R22,0))</f>
        <v>#N/A</v>
      </c>
      <c r="T21" s="193" t="e">
        <f t="shared" ref="T21" ca="1" si="12">IF($B23,0,T22-IF(ISNUMBER(S22),S22,0))</f>
        <v>#N/A</v>
      </c>
      <c r="U21" s="193" t="e">
        <f t="shared" ref="U21" ca="1" si="13">IF($B23,0,U22-IF(ISNUMBER(T22),T22,0))</f>
        <v>#N/A</v>
      </c>
      <c r="V21" s="193" t="e">
        <f t="shared" ref="V21" ca="1" si="14">IF($B23,0,V22-IF(ISNUMBER(U22),U22,0))</f>
        <v>#N/A</v>
      </c>
      <c r="W21" s="194" t="e">
        <f t="shared" ref="W21" ca="1" si="15">IF($B23,0,W22-IF(ISNUMBER(V22),V22,0))</f>
        <v>#N/A</v>
      </c>
      <c r="X21" s="163"/>
      <c r="AC21" s="188" t="e">
        <f ca="1">IF($B23,0,AC22-IF(ISNUMBER(AB22),AB22,0))</f>
        <v>#N/A</v>
      </c>
    </row>
    <row r="22" spans="1:29" customFormat="1" ht="14.25" x14ac:dyDescent="0.2">
      <c r="A22" s="11"/>
      <c r="B22" s="11"/>
      <c r="C22" s="11"/>
      <c r="D22" s="11"/>
      <c r="E22" s="11"/>
      <c r="F22" s="11"/>
      <c r="G22" s="11"/>
      <c r="H22" s="11"/>
      <c r="I22" s="11"/>
      <c r="J22" s="11"/>
      <c r="K22" s="11"/>
      <c r="L22" s="332"/>
      <c r="M22" s="334"/>
      <c r="N22" s="336"/>
      <c r="O22" s="145" t="s">
        <v>145</v>
      </c>
      <c r="P22" s="165" t="e">
        <f t="shared" ref="P22:W22" ca="1" si="16">MIN(IF($B23,P21+IF(ISNUMBER(O22),O22,0),P23/$N21),1)</f>
        <v>#N/A</v>
      </c>
      <c r="Q22" s="143" t="e">
        <f t="shared" ca="1" si="16"/>
        <v>#N/A</v>
      </c>
      <c r="R22" s="143" t="e">
        <f t="shared" ca="1" si="16"/>
        <v>#N/A</v>
      </c>
      <c r="S22" s="143" t="e">
        <f t="shared" ca="1" si="16"/>
        <v>#N/A</v>
      </c>
      <c r="T22" s="143" t="e">
        <f t="shared" ca="1" si="16"/>
        <v>#N/A</v>
      </c>
      <c r="U22" s="143" t="e">
        <f t="shared" ca="1" si="16"/>
        <v>#N/A</v>
      </c>
      <c r="V22" s="143" t="e">
        <f t="shared" ca="1" si="16"/>
        <v>#N/A</v>
      </c>
      <c r="W22" s="143" t="e">
        <f t="shared" ca="1" si="16"/>
        <v>#N/A</v>
      </c>
      <c r="X22" s="163"/>
      <c r="AC22" s="143" t="e">
        <f ca="1">MIN(IF($B23,AC21+IF(ISNUMBER(AB22),AB22,0),AC23/$N21),1)</f>
        <v>#N/A</v>
      </c>
    </row>
    <row r="23" spans="1:29" customFormat="1" ht="14.25" x14ac:dyDescent="0.2">
      <c r="A23" s="11">
        <f ca="1">OFFSET(A23,-CFF.NumLinha,0)+1</f>
        <v>2</v>
      </c>
      <c r="B23" s="11" t="e">
        <f ca="1">$C23&gt;=OFFSET($C23,CFF.NumLinha,0)</f>
        <v>#N/A</v>
      </c>
      <c r="C23" s="11" t="e">
        <f ca="1">INDEX(PO!A$12:A$242,MATCH($A23,PO!$V$12:$V$242,0))</f>
        <v>#N/A</v>
      </c>
      <c r="D23" s="11" t="e">
        <f ca="1">IF(ISERROR(J23),I23,SMALL(I23:J23,1))-1</f>
        <v>#N/A</v>
      </c>
      <c r="E23" s="11" t="e">
        <f ca="1">IF($C23=1,OFFSET(E23,-CFF.NumLinha,0)+1,OFFSET(E23,-CFF.NumLinha,0))</f>
        <v>#N/A</v>
      </c>
      <c r="F23" s="11" t="e">
        <f ca="1">IF($C23=1,0,IF($C23=2,OFFSET(F23,-CFF.NumLinha,0)+1,OFFSET(F23,-CFF.NumLinha,0)))</f>
        <v>#N/A</v>
      </c>
      <c r="G23" s="11" t="e">
        <f ca="1">IF(AND($C23&lt;=2,$C23&lt;&gt;0),0,IF($C23=3,OFFSET(G23,-CFF.NumLinha,0)+1,OFFSET(G23,-CFF.NumLinha,0)))</f>
        <v>#N/A</v>
      </c>
      <c r="H23" s="11" t="e">
        <f ca="1">IF(AND($C23&lt;=3,$C23&lt;&gt;0),0,IF($C23=4,OFFSET(H23,-CFF.NumLinha,0)+1,OFFSET(H23,-CFF.NumLinha,0)))</f>
        <v>#N/A</v>
      </c>
      <c r="I23" s="11" t="e">
        <f ca="1">MATCH(0,OFFSET($D23,1,$C23,ROW($A$54)-ROW($A23)),0)</f>
        <v>#N/A</v>
      </c>
      <c r="J23" s="11" t="e">
        <f ca="1">MATCH(OFFSET($D23,0,$C23)+1,OFFSET($D23,1,$C23,ROW($A$54)-ROW($A23)),0)</f>
        <v>#N/A</v>
      </c>
      <c r="K23" s="156" t="e">
        <f ca="1">ROUND(INDEX(PO!T$12:T$242,MATCH($A23,PO!$V$12:$V$242,0)),2)+10^-12</f>
        <v>#N/A</v>
      </c>
      <c r="L23" s="332"/>
      <c r="M23" s="334"/>
      <c r="N23" s="336"/>
      <c r="O23" s="171" t="s">
        <v>20</v>
      </c>
      <c r="P23" s="166" t="e">
        <f ca="1">IF($B23,ROUND(P22*$N21,2),ROUND(SUMIF(OFFSET($B23,1,0,$D23),TRUE,OFFSET(P23,1,0,$D23))/SUMIF(OFFSET($B23,1,0,$D23),TRUE,OFFSET($K23,1,0,$D23))*$N21,2))</f>
        <v>#N/A</v>
      </c>
      <c r="Q23" s="144" t="e">
        <f t="shared" ref="Q23:W23" ca="1" si="17">IF($B23,ROUND(Q22*$N21,2),ROUND(SUMIF(OFFSET($B23,1,0,$D23),TRUE,OFFSET(Q23,1,0,$D23))/SUMIF(OFFSET($B23,1,0,$D23),TRUE,OFFSET($K23,1,0,$D23))*$N21,2))</f>
        <v>#N/A</v>
      </c>
      <c r="R23" s="144" t="e">
        <f t="shared" ca="1" si="17"/>
        <v>#N/A</v>
      </c>
      <c r="S23" s="144" t="e">
        <f t="shared" ca="1" si="17"/>
        <v>#N/A</v>
      </c>
      <c r="T23" s="144" t="e">
        <f t="shared" ca="1" si="17"/>
        <v>#N/A</v>
      </c>
      <c r="U23" s="144" t="e">
        <f t="shared" ca="1" si="17"/>
        <v>#N/A</v>
      </c>
      <c r="V23" s="144" t="e">
        <f t="shared" ca="1" si="17"/>
        <v>#N/A</v>
      </c>
      <c r="W23" s="174" t="e">
        <f t="shared" ca="1" si="17"/>
        <v>#N/A</v>
      </c>
      <c r="X23" s="163"/>
      <c r="AC23" s="144" t="e">
        <f ca="1">IF($B23,ROUND(AC22*$N21,2),ROUND(SUMIF(OFFSET($B23,1,0,$D23),TRUE,OFFSET(AC23,1,0,$D23))/SUMIF(OFFSET($B23,1,0,$D23),TRUE,OFFSET($K23,1,0,$D23))*$N21,2))</f>
        <v>#N/A</v>
      </c>
    </row>
    <row r="24" spans="1:29" customFormat="1" ht="14.25" customHeight="1" x14ac:dyDescent="0.2">
      <c r="A24" s="1"/>
      <c r="B24" s="1"/>
      <c r="C24" s="1"/>
      <c r="D24" s="1"/>
      <c r="E24" s="1"/>
      <c r="F24" s="1"/>
      <c r="G24" s="1"/>
      <c r="H24" s="1"/>
      <c r="I24" s="1"/>
      <c r="J24" s="1"/>
      <c r="K24" s="1"/>
      <c r="L24" s="331" t="e">
        <f ca="1">INDEX(PO!K$12:K$242,MATCH($A26,PO!$V$12:$V$242,0))</f>
        <v>#N/A</v>
      </c>
      <c r="M24" s="333" t="e">
        <f ca="1">INDEX(PO!N$12:N$242,MATCH($A26,PO!$V$12:$V$242,0))</f>
        <v>#N/A</v>
      </c>
      <c r="N24" s="335" t="e">
        <f t="shared" ref="N24" ca="1" si="18">IF(ROUND(K26,2)=0,K26,ROUND(K26,2))</f>
        <v>#N/A</v>
      </c>
      <c r="O24" s="187" t="s">
        <v>143</v>
      </c>
      <c r="P24" s="192">
        <v>1</v>
      </c>
      <c r="Q24" s="193"/>
      <c r="R24" s="193"/>
      <c r="S24" s="193"/>
      <c r="T24" s="193"/>
      <c r="U24" s="193"/>
      <c r="V24" s="193"/>
      <c r="W24" s="194"/>
      <c r="X24" s="163"/>
      <c r="AC24" s="188" t="e">
        <f t="shared" ref="AC24" ca="1" si="19">IF($B26,0,AC25-IF(ISNUMBER(AB25),AB25,0))</f>
        <v>#N/A</v>
      </c>
    </row>
    <row r="25" spans="1:29" customFormat="1" ht="14.25" x14ac:dyDescent="0.2">
      <c r="A25" s="11"/>
      <c r="B25" s="11"/>
      <c r="C25" s="11"/>
      <c r="D25" s="11"/>
      <c r="E25" s="11"/>
      <c r="F25" s="11"/>
      <c r="G25" s="11"/>
      <c r="H25" s="11"/>
      <c r="I25" s="11"/>
      <c r="J25" s="11"/>
      <c r="K25" s="11"/>
      <c r="L25" s="332"/>
      <c r="M25" s="334"/>
      <c r="N25" s="336"/>
      <c r="O25" s="145" t="s">
        <v>145</v>
      </c>
      <c r="P25" s="165" t="e">
        <f t="shared" ref="P25" ca="1" si="20">MIN(IF($B26,P24+IF(ISNUMBER(O25),O25,0),P26/$N24),1)</f>
        <v>#N/A</v>
      </c>
      <c r="Q25" s="143" t="e">
        <f t="shared" ref="Q25" ca="1" si="21">MIN(IF($B26,Q24+IF(ISNUMBER(P25),P25,0),Q26/$N24),1)</f>
        <v>#N/A</v>
      </c>
      <c r="R25" s="143" t="e">
        <f t="shared" ref="R25" ca="1" si="22">MIN(IF($B26,R24+IF(ISNUMBER(Q25),Q25,0),R26/$N24),1)</f>
        <v>#N/A</v>
      </c>
      <c r="S25" s="143" t="e">
        <f t="shared" ref="S25" ca="1" si="23">MIN(IF($B26,S24+IF(ISNUMBER(R25),R25,0),S26/$N24),1)</f>
        <v>#N/A</v>
      </c>
      <c r="T25" s="143" t="e">
        <f t="shared" ref="T25" ca="1" si="24">MIN(IF($B26,T24+IF(ISNUMBER(S25),S25,0),T26/$N24),1)</f>
        <v>#N/A</v>
      </c>
      <c r="U25" s="143" t="e">
        <f t="shared" ref="U25" ca="1" si="25">MIN(IF($B26,U24+IF(ISNUMBER(T25),T25,0),U26/$N24),1)</f>
        <v>#N/A</v>
      </c>
      <c r="V25" s="143" t="e">
        <f t="shared" ref="V25" ca="1" si="26">MIN(IF($B26,V24+IF(ISNUMBER(U25),U25,0),V26/$N24),1)</f>
        <v>#N/A</v>
      </c>
      <c r="W25" s="143" t="e">
        <f t="shared" ref="W25" ca="1" si="27">MIN(IF($B26,W24+IF(ISNUMBER(V25),V25,0),W26/$N24),1)</f>
        <v>#N/A</v>
      </c>
      <c r="X25" s="163"/>
      <c r="AC25" s="143" t="e">
        <f t="shared" ref="AC25" ca="1" si="28">MIN(IF($B26,AC24+IF(ISNUMBER(AB25),AB25,0),AC26/$N24),1)</f>
        <v>#N/A</v>
      </c>
    </row>
    <row r="26" spans="1:29" customFormat="1" ht="14.25" x14ac:dyDescent="0.2">
      <c r="A26" s="11">
        <f ca="1">OFFSET(A26,-CFF.NumLinha,0)+1</f>
        <v>3</v>
      </c>
      <c r="B26" s="11" t="e">
        <f ca="1">$C26&gt;=OFFSET($C26,CFF.NumLinha,0)</f>
        <v>#N/A</v>
      </c>
      <c r="C26" s="11" t="e">
        <f ca="1">INDEX(PO!A$12:A$242,MATCH($A26,PO!$V$12:$V$242,0))</f>
        <v>#N/A</v>
      </c>
      <c r="D26" s="11" t="e">
        <f t="shared" ref="D26" ca="1" si="29">IF(ISERROR(J26),I26,SMALL(I26:J26,1))-1</f>
        <v>#N/A</v>
      </c>
      <c r="E26" s="11" t="e">
        <f ca="1">IF($C26=1,OFFSET(E26,-CFF.NumLinha,0)+1,OFFSET(E26,-CFF.NumLinha,0))</f>
        <v>#N/A</v>
      </c>
      <c r="F26" s="11" t="e">
        <f ca="1">IF($C26=1,0,IF($C26=2,OFFSET(F26,-CFF.NumLinha,0)+1,OFFSET(F26,-CFF.NumLinha,0)))</f>
        <v>#N/A</v>
      </c>
      <c r="G26" s="11" t="e">
        <f ca="1">IF(AND($C26&lt;=2,$C26&lt;&gt;0),0,IF($C26=3,OFFSET(G26,-CFF.NumLinha,0)+1,OFFSET(G26,-CFF.NumLinha,0)))</f>
        <v>#N/A</v>
      </c>
      <c r="H26" s="11" t="e">
        <f ca="1">IF(AND($C26&lt;=3,$C26&lt;&gt;0),0,IF($C26=4,OFFSET(H26,-CFF.NumLinha,0)+1,OFFSET(H26,-CFF.NumLinha,0)))</f>
        <v>#N/A</v>
      </c>
      <c r="I26" s="11" t="e">
        <f ca="1">MATCH(0,OFFSET($D26,1,$C26,ROW($A$54)-ROW($A26)),0)</f>
        <v>#N/A</v>
      </c>
      <c r="J26" s="11" t="e">
        <f ca="1">MATCH(OFFSET($D26,0,$C26)+1,OFFSET($D26,1,$C26,ROW($A$54)-ROW($A26)),0)</f>
        <v>#N/A</v>
      </c>
      <c r="K26" s="156" t="e">
        <f ca="1">ROUND(INDEX(PO!T$12:T$242,MATCH($A26,PO!$V$12:$V$242,0)),2)+10^-12</f>
        <v>#N/A</v>
      </c>
      <c r="L26" s="332"/>
      <c r="M26" s="334"/>
      <c r="N26" s="336"/>
      <c r="O26" s="171" t="s">
        <v>20</v>
      </c>
      <c r="P26" s="166" t="e">
        <f t="shared" ref="P26:W26" ca="1" si="30">IF($B26,ROUND(P25*$N24,2),ROUND(SUMIF(OFFSET($B26,1,0,$D26),TRUE,OFFSET(P26,1,0,$D26))/SUMIF(OFFSET($B26,1,0,$D26),TRUE,OFFSET($K26,1,0,$D26))*$N24,2))</f>
        <v>#N/A</v>
      </c>
      <c r="Q26" s="144" t="e">
        <f t="shared" ca="1" si="30"/>
        <v>#N/A</v>
      </c>
      <c r="R26" s="144" t="e">
        <f t="shared" ca="1" si="30"/>
        <v>#N/A</v>
      </c>
      <c r="S26" s="144" t="e">
        <f t="shared" ca="1" si="30"/>
        <v>#N/A</v>
      </c>
      <c r="T26" s="144" t="e">
        <f t="shared" ca="1" si="30"/>
        <v>#N/A</v>
      </c>
      <c r="U26" s="144" t="e">
        <f t="shared" ca="1" si="30"/>
        <v>#N/A</v>
      </c>
      <c r="V26" s="144" t="e">
        <f t="shared" ca="1" si="30"/>
        <v>#N/A</v>
      </c>
      <c r="W26" s="174" t="e">
        <f t="shared" ca="1" si="30"/>
        <v>#N/A</v>
      </c>
      <c r="X26" s="163"/>
      <c r="AC26" s="144" t="e">
        <f t="shared" ref="AC26" ca="1" si="31">IF($B26,ROUND(AC25*$N24,2),ROUND(SUMIF(OFFSET($B26,1,0,$D26),TRUE,OFFSET(AC26,1,0,$D26))/SUMIF(OFFSET($B26,1,0,$D26),TRUE,OFFSET($K26,1,0,$D26))*$N24,2))</f>
        <v>#N/A</v>
      </c>
    </row>
    <row r="27" spans="1:29" customFormat="1" ht="14.25" customHeight="1" x14ac:dyDescent="0.2">
      <c r="A27" s="1"/>
      <c r="B27" s="1"/>
      <c r="C27" s="1"/>
      <c r="D27" s="1"/>
      <c r="E27" s="1"/>
      <c r="F27" s="1"/>
      <c r="G27" s="1"/>
      <c r="H27" s="1"/>
      <c r="I27" s="1"/>
      <c r="J27" s="1"/>
      <c r="K27" s="1"/>
      <c r="L27" s="331" t="e">
        <f ca="1">INDEX(PO!K$12:K$242,MATCH($A29,PO!$V$12:$V$242,0))</f>
        <v>#N/A</v>
      </c>
      <c r="M27" s="333" t="e">
        <f ca="1">INDEX(PO!N$12:N$242,MATCH($A29,PO!$V$12:$V$242,0))</f>
        <v>#N/A</v>
      </c>
      <c r="N27" s="335" t="e">
        <f t="shared" ref="N27" ca="1" si="32">IF(ROUND(K29,2)=0,K29,ROUND(K29,2))</f>
        <v>#N/A</v>
      </c>
      <c r="O27" s="187" t="s">
        <v>143</v>
      </c>
      <c r="P27" s="192">
        <v>1</v>
      </c>
      <c r="Q27" s="193"/>
      <c r="R27" s="193"/>
      <c r="S27" s="193"/>
      <c r="T27" s="193"/>
      <c r="U27" s="193"/>
      <c r="V27" s="193"/>
      <c r="W27" s="194"/>
      <c r="X27" s="163"/>
      <c r="AC27" s="188" t="e">
        <f t="shared" ref="AC27" ca="1" si="33">IF($B29,0,AC28-IF(ISNUMBER(AB28),AB28,0))</f>
        <v>#N/A</v>
      </c>
    </row>
    <row r="28" spans="1:29" customFormat="1" ht="14.25" x14ac:dyDescent="0.2">
      <c r="A28" s="11"/>
      <c r="B28" s="11"/>
      <c r="C28" s="11"/>
      <c r="D28" s="11"/>
      <c r="E28" s="11"/>
      <c r="F28" s="11"/>
      <c r="G28" s="11"/>
      <c r="H28" s="11"/>
      <c r="I28" s="11"/>
      <c r="J28" s="11"/>
      <c r="K28" s="11"/>
      <c r="L28" s="332"/>
      <c r="M28" s="334"/>
      <c r="N28" s="336"/>
      <c r="O28" s="145" t="s">
        <v>145</v>
      </c>
      <c r="P28" s="165" t="e">
        <f t="shared" ref="P28" ca="1" si="34">MIN(IF($B29,P27+IF(ISNUMBER(O28),O28,0),P29/$N27),1)</f>
        <v>#N/A</v>
      </c>
      <c r="Q28" s="143" t="e">
        <f t="shared" ref="Q28" ca="1" si="35">MIN(IF($B29,Q27+IF(ISNUMBER(P28),P28,0),Q29/$N27),1)</f>
        <v>#N/A</v>
      </c>
      <c r="R28" s="143" t="e">
        <f t="shared" ref="R28" ca="1" si="36">MIN(IF($B29,R27+IF(ISNUMBER(Q28),Q28,0),R29/$N27),1)</f>
        <v>#N/A</v>
      </c>
      <c r="S28" s="143" t="e">
        <f t="shared" ref="S28" ca="1" si="37">MIN(IF($B29,S27+IF(ISNUMBER(R28),R28,0),S29/$N27),1)</f>
        <v>#N/A</v>
      </c>
      <c r="T28" s="143" t="e">
        <f t="shared" ref="T28" ca="1" si="38">MIN(IF($B29,T27+IF(ISNUMBER(S28),S28,0),T29/$N27),1)</f>
        <v>#N/A</v>
      </c>
      <c r="U28" s="143" t="e">
        <f t="shared" ref="U28" ca="1" si="39">MIN(IF($B29,U27+IF(ISNUMBER(T28),T28,0),U29/$N27),1)</f>
        <v>#N/A</v>
      </c>
      <c r="V28" s="143" t="e">
        <f t="shared" ref="V28" ca="1" si="40">MIN(IF($B29,V27+IF(ISNUMBER(U28),U28,0),V29/$N27),1)</f>
        <v>#N/A</v>
      </c>
      <c r="W28" s="143" t="e">
        <f t="shared" ref="W28" ca="1" si="41">MIN(IF($B29,W27+IF(ISNUMBER(V28),V28,0),W29/$N27),1)</f>
        <v>#N/A</v>
      </c>
      <c r="X28" s="163"/>
      <c r="AC28" s="143" t="e">
        <f t="shared" ref="AC28" ca="1" si="42">MIN(IF($B29,AC27+IF(ISNUMBER(AB28),AB28,0),AC29/$N27),1)</f>
        <v>#N/A</v>
      </c>
    </row>
    <row r="29" spans="1:29" customFormat="1" ht="14.25" x14ac:dyDescent="0.2">
      <c r="A29" s="11">
        <f ca="1">OFFSET(A29,-CFF.NumLinha,0)+1</f>
        <v>4</v>
      </c>
      <c r="B29" s="11" t="e">
        <f ca="1">$C29&gt;=OFFSET($C29,CFF.NumLinha,0)</f>
        <v>#N/A</v>
      </c>
      <c r="C29" s="11" t="e">
        <f ca="1">INDEX(PO!A$12:A$242,MATCH($A29,PO!$V$12:$V$242,0))</f>
        <v>#N/A</v>
      </c>
      <c r="D29" s="11" t="e">
        <f t="shared" ref="D29" ca="1" si="43">IF(ISERROR(J29),I29,SMALL(I29:J29,1))-1</f>
        <v>#N/A</v>
      </c>
      <c r="E29" s="11" t="e">
        <f ca="1">IF($C29=1,OFFSET(E29,-CFF.NumLinha,0)+1,OFFSET(E29,-CFF.NumLinha,0))</f>
        <v>#N/A</v>
      </c>
      <c r="F29" s="11" t="e">
        <f ca="1">IF($C29=1,0,IF($C29=2,OFFSET(F29,-CFF.NumLinha,0)+1,OFFSET(F29,-CFF.NumLinha,0)))</f>
        <v>#N/A</v>
      </c>
      <c r="G29" s="11" t="e">
        <f ca="1">IF(AND($C29&lt;=2,$C29&lt;&gt;0),0,IF($C29=3,OFFSET(G29,-CFF.NumLinha,0)+1,OFFSET(G29,-CFF.NumLinha,0)))</f>
        <v>#N/A</v>
      </c>
      <c r="H29" s="11" t="e">
        <f ca="1">IF(AND($C29&lt;=3,$C29&lt;&gt;0),0,IF($C29=4,OFFSET(H29,-CFF.NumLinha,0)+1,OFFSET(H29,-CFF.NumLinha,0)))</f>
        <v>#N/A</v>
      </c>
      <c r="I29" s="11" t="e">
        <f ca="1">MATCH(0,OFFSET($D29,1,$C29,ROW($A$54)-ROW($A29)),0)</f>
        <v>#N/A</v>
      </c>
      <c r="J29" s="11" t="e">
        <f ca="1">MATCH(OFFSET($D29,0,$C29)+1,OFFSET($D29,1,$C29,ROW($A$54)-ROW($A29)),0)</f>
        <v>#N/A</v>
      </c>
      <c r="K29" s="156" t="e">
        <f ca="1">ROUND(INDEX(PO!T$12:T$242,MATCH($A29,PO!$V$12:$V$242,0)),2)+10^-12</f>
        <v>#N/A</v>
      </c>
      <c r="L29" s="332"/>
      <c r="M29" s="334"/>
      <c r="N29" s="336"/>
      <c r="O29" s="171" t="s">
        <v>20</v>
      </c>
      <c r="P29" s="166" t="e">
        <f t="shared" ref="P29:W29" ca="1" si="44">IF($B29,ROUND(P28*$N27,2),ROUND(SUMIF(OFFSET($B29,1,0,$D29),TRUE,OFFSET(P29,1,0,$D29))/SUMIF(OFFSET($B29,1,0,$D29),TRUE,OFFSET($K29,1,0,$D29))*$N27,2))</f>
        <v>#N/A</v>
      </c>
      <c r="Q29" s="144" t="e">
        <f t="shared" ca="1" si="44"/>
        <v>#N/A</v>
      </c>
      <c r="R29" s="144" t="e">
        <f t="shared" ca="1" si="44"/>
        <v>#N/A</v>
      </c>
      <c r="S29" s="144" t="e">
        <f t="shared" ca="1" si="44"/>
        <v>#N/A</v>
      </c>
      <c r="T29" s="144" t="e">
        <f t="shared" ca="1" si="44"/>
        <v>#N/A</v>
      </c>
      <c r="U29" s="144" t="e">
        <f t="shared" ca="1" si="44"/>
        <v>#N/A</v>
      </c>
      <c r="V29" s="144" t="e">
        <f t="shared" ca="1" si="44"/>
        <v>#N/A</v>
      </c>
      <c r="W29" s="174" t="e">
        <f t="shared" ca="1" si="44"/>
        <v>#N/A</v>
      </c>
      <c r="X29" s="163"/>
      <c r="AC29" s="144" t="e">
        <f t="shared" ref="AC29" ca="1" si="45">IF($B29,ROUND(AC28*$N27,2),ROUND(SUMIF(OFFSET($B29,1,0,$D29),TRUE,OFFSET(AC29,1,0,$D29))/SUMIF(OFFSET($B29,1,0,$D29),TRUE,OFFSET($K29,1,0,$D29))*$N27,2))</f>
        <v>#N/A</v>
      </c>
    </row>
    <row r="30" spans="1:29" customFormat="1" ht="14.25" customHeight="1" x14ac:dyDescent="0.2">
      <c r="A30" s="1"/>
      <c r="B30" s="1"/>
      <c r="C30" s="1"/>
      <c r="D30" s="1"/>
      <c r="E30" s="1"/>
      <c r="F30" s="1"/>
      <c r="G30" s="1"/>
      <c r="H30" s="1"/>
      <c r="I30" s="1"/>
      <c r="J30" s="1"/>
      <c r="K30" s="1"/>
      <c r="L30" s="331" t="e">
        <f ca="1">INDEX(PO!K$12:K$242,MATCH($A32,PO!$V$12:$V$242,0))</f>
        <v>#N/A</v>
      </c>
      <c r="M30" s="333" t="e">
        <f ca="1">INDEX(PO!N$12:N$242,MATCH($A32,PO!$V$12:$V$242,0))</f>
        <v>#N/A</v>
      </c>
      <c r="N30" s="335" t="e">
        <f t="shared" ref="N30" ca="1" si="46">IF(ROUND(K32,2)=0,K32,ROUND(K32,2))</f>
        <v>#N/A</v>
      </c>
      <c r="O30" s="187" t="s">
        <v>143</v>
      </c>
      <c r="P30" s="192">
        <v>1</v>
      </c>
      <c r="Q30" s="193"/>
      <c r="R30" s="193"/>
      <c r="S30" s="193"/>
      <c r="T30" s="193"/>
      <c r="U30" s="193"/>
      <c r="V30" s="193"/>
      <c r="W30" s="194"/>
      <c r="X30" s="163"/>
      <c r="AC30" s="188" t="e">
        <f t="shared" ref="AC30" ca="1" si="47">IF($B32,0,AC31-IF(ISNUMBER(AB31),AB31,0))</f>
        <v>#N/A</v>
      </c>
    </row>
    <row r="31" spans="1:29" customFormat="1" ht="14.25" x14ac:dyDescent="0.2">
      <c r="A31" s="11"/>
      <c r="B31" s="11"/>
      <c r="C31" s="11"/>
      <c r="D31" s="11"/>
      <c r="E31" s="11"/>
      <c r="F31" s="11"/>
      <c r="G31" s="11"/>
      <c r="H31" s="11"/>
      <c r="I31" s="11"/>
      <c r="J31" s="11"/>
      <c r="K31" s="11"/>
      <c r="L31" s="332"/>
      <c r="M31" s="334"/>
      <c r="N31" s="336"/>
      <c r="O31" s="145" t="s">
        <v>145</v>
      </c>
      <c r="P31" s="165" t="e">
        <f t="shared" ref="P31" ca="1" si="48">MIN(IF($B32,P30+IF(ISNUMBER(O31),O31,0),P32/$N30),1)</f>
        <v>#N/A</v>
      </c>
      <c r="Q31" s="143" t="e">
        <f t="shared" ref="Q31" ca="1" si="49">MIN(IF($B32,Q30+IF(ISNUMBER(P31),P31,0),Q32/$N30),1)</f>
        <v>#N/A</v>
      </c>
      <c r="R31" s="143" t="e">
        <f t="shared" ref="R31" ca="1" si="50">MIN(IF($B32,R30+IF(ISNUMBER(Q31),Q31,0),R32/$N30),1)</f>
        <v>#N/A</v>
      </c>
      <c r="S31" s="143" t="e">
        <f t="shared" ref="S31" ca="1" si="51">MIN(IF($B32,S30+IF(ISNUMBER(R31),R31,0),S32/$N30),1)</f>
        <v>#N/A</v>
      </c>
      <c r="T31" s="143" t="e">
        <f t="shared" ref="T31" ca="1" si="52">MIN(IF($B32,T30+IF(ISNUMBER(S31),S31,0),T32/$N30),1)</f>
        <v>#N/A</v>
      </c>
      <c r="U31" s="143" t="e">
        <f t="shared" ref="U31" ca="1" si="53">MIN(IF($B32,U30+IF(ISNUMBER(T31),T31,0),U32/$N30),1)</f>
        <v>#N/A</v>
      </c>
      <c r="V31" s="143" t="e">
        <f t="shared" ref="V31" ca="1" si="54">MIN(IF($B32,V30+IF(ISNUMBER(U31),U31,0),V32/$N30),1)</f>
        <v>#N/A</v>
      </c>
      <c r="W31" s="143" t="e">
        <f t="shared" ref="W31" ca="1" si="55">MIN(IF($B32,W30+IF(ISNUMBER(V31),V31,0),W32/$N30),1)</f>
        <v>#N/A</v>
      </c>
      <c r="X31" s="163"/>
      <c r="AC31" s="143" t="e">
        <f t="shared" ref="AC31" ca="1" si="56">MIN(IF($B32,AC30+IF(ISNUMBER(AB31),AB31,0),AC32/$N30),1)</f>
        <v>#N/A</v>
      </c>
    </row>
    <row r="32" spans="1:29" customFormat="1" ht="14.25" x14ac:dyDescent="0.2">
      <c r="A32" s="11">
        <f ca="1">OFFSET(A32,-CFF.NumLinha,0)+1</f>
        <v>5</v>
      </c>
      <c r="B32" s="11" t="e">
        <f ca="1">$C32&gt;=OFFSET($C32,CFF.NumLinha,0)</f>
        <v>#N/A</v>
      </c>
      <c r="C32" s="11" t="e">
        <f ca="1">INDEX(PO!A$12:A$242,MATCH($A32,PO!$V$12:$V$242,0))</f>
        <v>#N/A</v>
      </c>
      <c r="D32" s="11" t="e">
        <f t="shared" ref="D32" ca="1" si="57">IF(ISERROR(J32),I32,SMALL(I32:J32,1))-1</f>
        <v>#N/A</v>
      </c>
      <c r="E32" s="11" t="e">
        <f ca="1">IF($C32=1,OFFSET(E32,-CFF.NumLinha,0)+1,OFFSET(E32,-CFF.NumLinha,0))</f>
        <v>#N/A</v>
      </c>
      <c r="F32" s="11" t="e">
        <f ca="1">IF($C32=1,0,IF($C32=2,OFFSET(F32,-CFF.NumLinha,0)+1,OFFSET(F32,-CFF.NumLinha,0)))</f>
        <v>#N/A</v>
      </c>
      <c r="G32" s="11" t="e">
        <f ca="1">IF(AND($C32&lt;=2,$C32&lt;&gt;0),0,IF($C32=3,OFFSET(G32,-CFF.NumLinha,0)+1,OFFSET(G32,-CFF.NumLinha,0)))</f>
        <v>#N/A</v>
      </c>
      <c r="H32" s="11" t="e">
        <f ca="1">IF(AND($C32&lt;=3,$C32&lt;&gt;0),0,IF($C32=4,OFFSET(H32,-CFF.NumLinha,0)+1,OFFSET(H32,-CFF.NumLinha,0)))</f>
        <v>#N/A</v>
      </c>
      <c r="I32" s="11" t="e">
        <f ca="1">MATCH(0,OFFSET($D32,1,$C32,ROW($A$54)-ROW($A32)),0)</f>
        <v>#N/A</v>
      </c>
      <c r="J32" s="11" t="e">
        <f ca="1">MATCH(OFFSET($D32,0,$C32)+1,OFFSET($D32,1,$C32,ROW($A$54)-ROW($A32)),0)</f>
        <v>#N/A</v>
      </c>
      <c r="K32" s="156" t="e">
        <f ca="1">ROUND(INDEX(PO!T$12:T$242,MATCH($A32,PO!$V$12:$V$242,0)),2)+10^-12</f>
        <v>#N/A</v>
      </c>
      <c r="L32" s="332"/>
      <c r="M32" s="334"/>
      <c r="N32" s="336"/>
      <c r="O32" s="171" t="s">
        <v>20</v>
      </c>
      <c r="P32" s="166" t="e">
        <f t="shared" ref="P32:W32" ca="1" si="58">IF($B32,ROUND(P31*$N30,2),ROUND(SUMIF(OFFSET($B32,1,0,$D32),TRUE,OFFSET(P32,1,0,$D32))/SUMIF(OFFSET($B32,1,0,$D32),TRUE,OFFSET($K32,1,0,$D32))*$N30,2))</f>
        <v>#N/A</v>
      </c>
      <c r="Q32" s="144" t="e">
        <f t="shared" ca="1" si="58"/>
        <v>#N/A</v>
      </c>
      <c r="R32" s="144" t="e">
        <f t="shared" ca="1" si="58"/>
        <v>#N/A</v>
      </c>
      <c r="S32" s="144" t="e">
        <f t="shared" ca="1" si="58"/>
        <v>#N/A</v>
      </c>
      <c r="T32" s="144" t="e">
        <f t="shared" ca="1" si="58"/>
        <v>#N/A</v>
      </c>
      <c r="U32" s="144" t="e">
        <f t="shared" ca="1" si="58"/>
        <v>#N/A</v>
      </c>
      <c r="V32" s="144" t="e">
        <f t="shared" ca="1" si="58"/>
        <v>#N/A</v>
      </c>
      <c r="W32" s="174" t="e">
        <f t="shared" ca="1" si="58"/>
        <v>#N/A</v>
      </c>
      <c r="X32" s="163"/>
      <c r="AC32" s="144" t="e">
        <f t="shared" ref="AC32" ca="1" si="59">IF($B32,ROUND(AC31*$N30,2),ROUND(SUMIF(OFFSET($B32,1,0,$D32),TRUE,OFFSET(AC32,1,0,$D32))/SUMIF(OFFSET($B32,1,0,$D32),TRUE,OFFSET($K32,1,0,$D32))*$N30,2))</f>
        <v>#N/A</v>
      </c>
    </row>
    <row r="33" spans="1:29" customFormat="1" ht="14.25" customHeight="1" x14ac:dyDescent="0.2">
      <c r="A33" s="1"/>
      <c r="B33" s="1"/>
      <c r="C33" s="1"/>
      <c r="D33" s="1"/>
      <c r="E33" s="1"/>
      <c r="F33" s="1"/>
      <c r="G33" s="1"/>
      <c r="H33" s="1"/>
      <c r="I33" s="1"/>
      <c r="J33" s="1"/>
      <c r="K33" s="1"/>
      <c r="L33" s="331" t="e">
        <f ca="1">INDEX(PO!K$12:K$242,MATCH($A35,PO!$V$12:$V$242,0))</f>
        <v>#N/A</v>
      </c>
      <c r="M33" s="333" t="e">
        <f ca="1">INDEX(PO!N$12:N$242,MATCH($A35,PO!$V$12:$V$242,0))</f>
        <v>#N/A</v>
      </c>
      <c r="N33" s="335" t="e">
        <f t="shared" ref="N33" ca="1" si="60">IF(ROUND(K35,2)=0,K35,ROUND(K35,2))</f>
        <v>#N/A</v>
      </c>
      <c r="O33" s="187" t="s">
        <v>143</v>
      </c>
      <c r="P33" s="192">
        <v>1</v>
      </c>
      <c r="Q33" s="193" t="e">
        <f t="shared" ref="Q33" ca="1" si="61">IF($B35,0,Q34-IF(ISNUMBER(P34),P34,0))</f>
        <v>#N/A</v>
      </c>
      <c r="R33" s="193" t="e">
        <f t="shared" ref="R33" ca="1" si="62">IF($B35,0,R34-IF(ISNUMBER(Q34),Q34,0))</f>
        <v>#N/A</v>
      </c>
      <c r="S33" s="193" t="e">
        <f t="shared" ref="S33" ca="1" si="63">IF($B35,0,S34-IF(ISNUMBER(R34),R34,0))</f>
        <v>#N/A</v>
      </c>
      <c r="T33" s="193" t="e">
        <f t="shared" ref="T33" ca="1" si="64">IF($B35,0,T34-IF(ISNUMBER(S34),S34,0))</f>
        <v>#N/A</v>
      </c>
      <c r="U33" s="193" t="e">
        <f t="shared" ref="U33" ca="1" si="65">IF($B35,0,U34-IF(ISNUMBER(T34),T34,0))</f>
        <v>#N/A</v>
      </c>
      <c r="V33" s="193" t="e">
        <f t="shared" ref="V33" ca="1" si="66">IF($B35,0,V34-IF(ISNUMBER(U34),U34,0))</f>
        <v>#N/A</v>
      </c>
      <c r="W33" s="194" t="e">
        <f t="shared" ref="W33" ca="1" si="67">IF($B35,0,W34-IF(ISNUMBER(V34),V34,0))</f>
        <v>#N/A</v>
      </c>
      <c r="X33" s="163"/>
      <c r="AC33" s="188" t="e">
        <f t="shared" ref="AC33" ca="1" si="68">IF($B35,0,AC34-IF(ISNUMBER(AB34),AB34,0))</f>
        <v>#N/A</v>
      </c>
    </row>
    <row r="34" spans="1:29" customFormat="1" ht="14.25" x14ac:dyDescent="0.2">
      <c r="A34" s="11"/>
      <c r="B34" s="11"/>
      <c r="C34" s="11"/>
      <c r="D34" s="11"/>
      <c r="E34" s="11"/>
      <c r="F34" s="11"/>
      <c r="G34" s="11"/>
      <c r="H34" s="11"/>
      <c r="I34" s="11"/>
      <c r="J34" s="11"/>
      <c r="K34" s="11"/>
      <c r="L34" s="332"/>
      <c r="M34" s="334"/>
      <c r="N34" s="336"/>
      <c r="O34" s="145" t="s">
        <v>145</v>
      </c>
      <c r="P34" s="165" t="e">
        <f t="shared" ref="P34" ca="1" si="69">MIN(IF($B35,P33+IF(ISNUMBER(O34),O34,0),P35/$N33),1)</f>
        <v>#N/A</v>
      </c>
      <c r="Q34" s="143" t="e">
        <f t="shared" ref="Q34" ca="1" si="70">MIN(IF($B35,Q33+IF(ISNUMBER(P34),P34,0),Q35/$N33),1)</f>
        <v>#N/A</v>
      </c>
      <c r="R34" s="143" t="e">
        <f t="shared" ref="R34" ca="1" si="71">MIN(IF($B35,R33+IF(ISNUMBER(Q34),Q34,0),R35/$N33),1)</f>
        <v>#N/A</v>
      </c>
      <c r="S34" s="143" t="e">
        <f t="shared" ref="S34" ca="1" si="72">MIN(IF($B35,S33+IF(ISNUMBER(R34),R34,0),S35/$N33),1)</f>
        <v>#N/A</v>
      </c>
      <c r="T34" s="143" t="e">
        <f t="shared" ref="T34" ca="1" si="73">MIN(IF($B35,T33+IF(ISNUMBER(S34),S34,0),T35/$N33),1)</f>
        <v>#N/A</v>
      </c>
      <c r="U34" s="143" t="e">
        <f t="shared" ref="U34" ca="1" si="74">MIN(IF($B35,U33+IF(ISNUMBER(T34),T34,0),U35/$N33),1)</f>
        <v>#N/A</v>
      </c>
      <c r="V34" s="143" t="e">
        <f t="shared" ref="V34" ca="1" si="75">MIN(IF($B35,V33+IF(ISNUMBER(U34),U34,0),V35/$N33),1)</f>
        <v>#N/A</v>
      </c>
      <c r="W34" s="143" t="e">
        <f t="shared" ref="W34" ca="1" si="76">MIN(IF($B35,W33+IF(ISNUMBER(V34),V34,0),W35/$N33),1)</f>
        <v>#N/A</v>
      </c>
      <c r="X34" s="163"/>
      <c r="AC34" s="143" t="e">
        <f t="shared" ref="AC34" ca="1" si="77">MIN(IF($B35,AC33+IF(ISNUMBER(AB34),AB34,0),AC35/$N33),1)</f>
        <v>#N/A</v>
      </c>
    </row>
    <row r="35" spans="1:29" customFormat="1" ht="14.25" x14ac:dyDescent="0.2">
      <c r="A35" s="11">
        <f ca="1">OFFSET(A35,-CFF.NumLinha,0)+1</f>
        <v>6</v>
      </c>
      <c r="B35" s="11" t="e">
        <f ca="1">$C35&gt;=OFFSET($C35,CFF.NumLinha,0)</f>
        <v>#N/A</v>
      </c>
      <c r="C35" s="11" t="e">
        <f ca="1">INDEX(PO!A$12:A$242,MATCH($A35,PO!$V$12:$V$242,0))</f>
        <v>#N/A</v>
      </c>
      <c r="D35" s="11" t="e">
        <f t="shared" ref="D35" ca="1" si="78">IF(ISERROR(J35),I35,SMALL(I35:J35,1))-1</f>
        <v>#N/A</v>
      </c>
      <c r="E35" s="11" t="e">
        <f ca="1">IF($C35=1,OFFSET(E35,-CFF.NumLinha,0)+1,OFFSET(E35,-CFF.NumLinha,0))</f>
        <v>#N/A</v>
      </c>
      <c r="F35" s="11" t="e">
        <f ca="1">IF($C35=1,0,IF($C35=2,OFFSET(F35,-CFF.NumLinha,0)+1,OFFSET(F35,-CFF.NumLinha,0)))</f>
        <v>#N/A</v>
      </c>
      <c r="G35" s="11" t="e">
        <f ca="1">IF(AND($C35&lt;=2,$C35&lt;&gt;0),0,IF($C35=3,OFFSET(G35,-CFF.NumLinha,0)+1,OFFSET(G35,-CFF.NumLinha,0)))</f>
        <v>#N/A</v>
      </c>
      <c r="H35" s="11" t="e">
        <f ca="1">IF(AND($C35&lt;=3,$C35&lt;&gt;0),0,IF($C35=4,OFFSET(H35,-CFF.NumLinha,0)+1,OFFSET(H35,-CFF.NumLinha,0)))</f>
        <v>#N/A</v>
      </c>
      <c r="I35" s="11" t="e">
        <f ca="1">MATCH(0,OFFSET($D35,1,$C35,ROW($A$54)-ROW($A35)),0)</f>
        <v>#N/A</v>
      </c>
      <c r="J35" s="11" t="e">
        <f ca="1">MATCH(OFFSET($D35,0,$C35)+1,OFFSET($D35,1,$C35,ROW($A$54)-ROW($A35)),0)</f>
        <v>#N/A</v>
      </c>
      <c r="K35" s="156" t="e">
        <f ca="1">ROUND(INDEX(PO!T$12:T$242,MATCH($A35,PO!$V$12:$V$242,0)),2)+10^-12</f>
        <v>#N/A</v>
      </c>
      <c r="L35" s="332"/>
      <c r="M35" s="334"/>
      <c r="N35" s="336"/>
      <c r="O35" s="171" t="s">
        <v>20</v>
      </c>
      <c r="P35" s="166" t="e">
        <f t="shared" ref="P35:W35" ca="1" si="79">IF($B35,ROUND(P34*$N33,2),ROUND(SUMIF(OFFSET($B35,1,0,$D35),TRUE,OFFSET(P35,1,0,$D35))/SUMIF(OFFSET($B35,1,0,$D35),TRUE,OFFSET($K35,1,0,$D35))*$N33,2))</f>
        <v>#N/A</v>
      </c>
      <c r="Q35" s="144" t="e">
        <f t="shared" ca="1" si="79"/>
        <v>#N/A</v>
      </c>
      <c r="R35" s="144" t="e">
        <f t="shared" ca="1" si="79"/>
        <v>#N/A</v>
      </c>
      <c r="S35" s="144" t="e">
        <f t="shared" ca="1" si="79"/>
        <v>#N/A</v>
      </c>
      <c r="T35" s="144" t="e">
        <f t="shared" ca="1" si="79"/>
        <v>#N/A</v>
      </c>
      <c r="U35" s="144" t="e">
        <f t="shared" ca="1" si="79"/>
        <v>#N/A</v>
      </c>
      <c r="V35" s="144" t="e">
        <f t="shared" ca="1" si="79"/>
        <v>#N/A</v>
      </c>
      <c r="W35" s="174" t="e">
        <f t="shared" ca="1" si="79"/>
        <v>#N/A</v>
      </c>
      <c r="X35" s="163"/>
      <c r="AC35" s="144" t="e">
        <f t="shared" ref="AC35" ca="1" si="80">IF($B35,ROUND(AC34*$N33,2),ROUND(SUMIF(OFFSET($B35,1,0,$D35),TRUE,OFFSET(AC35,1,0,$D35))/SUMIF(OFFSET($B35,1,0,$D35),TRUE,OFFSET($K35,1,0,$D35))*$N33,2))</f>
        <v>#N/A</v>
      </c>
    </row>
    <row r="36" spans="1:29" customFormat="1" ht="14.25" customHeight="1" x14ac:dyDescent="0.2">
      <c r="A36" s="1"/>
      <c r="B36" s="1"/>
      <c r="C36" s="1"/>
      <c r="D36" s="1"/>
      <c r="E36" s="1"/>
      <c r="F36" s="1"/>
      <c r="G36" s="1"/>
      <c r="H36" s="1"/>
      <c r="I36" s="1"/>
      <c r="J36" s="1"/>
      <c r="K36" s="1"/>
      <c r="L36" s="331" t="e">
        <f ca="1">INDEX(PO!K$12:K$242,MATCH($A38,PO!$V$12:$V$242,0))</f>
        <v>#N/A</v>
      </c>
      <c r="M36" s="333" t="e">
        <f ca="1">INDEX(PO!N$12:N$242,MATCH($A38,PO!$V$12:$V$242,0))</f>
        <v>#N/A</v>
      </c>
      <c r="N36" s="335" t="e">
        <f t="shared" ref="N36" ca="1" si="81">IF(ROUND(K38,2)=0,K38,ROUND(K38,2))</f>
        <v>#N/A</v>
      </c>
      <c r="O36" s="187" t="s">
        <v>143</v>
      </c>
      <c r="P36" s="192">
        <v>1</v>
      </c>
      <c r="Q36" s="193"/>
      <c r="R36" s="193"/>
      <c r="S36" s="193"/>
      <c r="T36" s="193"/>
      <c r="U36" s="193"/>
      <c r="V36" s="193"/>
      <c r="W36" s="194"/>
      <c r="X36" s="163"/>
      <c r="AC36" s="188" t="e">
        <f t="shared" ref="AC36" ca="1" si="82">IF($B38,0,AC37-IF(ISNUMBER(AB37),AB37,0))</f>
        <v>#N/A</v>
      </c>
    </row>
    <row r="37" spans="1:29" customFormat="1" ht="14.25" x14ac:dyDescent="0.2">
      <c r="A37" s="11"/>
      <c r="B37" s="11"/>
      <c r="C37" s="11"/>
      <c r="D37" s="11"/>
      <c r="E37" s="11"/>
      <c r="F37" s="11"/>
      <c r="G37" s="11"/>
      <c r="H37" s="11"/>
      <c r="I37" s="11"/>
      <c r="J37" s="11"/>
      <c r="K37" s="11"/>
      <c r="L37" s="332"/>
      <c r="M37" s="334"/>
      <c r="N37" s="336"/>
      <c r="O37" s="145" t="s">
        <v>145</v>
      </c>
      <c r="P37" s="165" t="e">
        <f t="shared" ref="P37" ca="1" si="83">MIN(IF($B38,P36+IF(ISNUMBER(O37),O37,0),P38/$N36),1)</f>
        <v>#N/A</v>
      </c>
      <c r="Q37" s="143" t="e">
        <f t="shared" ref="Q37" ca="1" si="84">MIN(IF($B38,Q36+IF(ISNUMBER(P37),P37,0),Q38/$N36),1)</f>
        <v>#N/A</v>
      </c>
      <c r="R37" s="143" t="e">
        <f t="shared" ref="R37" ca="1" si="85">MIN(IF($B38,R36+IF(ISNUMBER(Q37),Q37,0),R38/$N36),1)</f>
        <v>#N/A</v>
      </c>
      <c r="S37" s="143" t="e">
        <f t="shared" ref="S37" ca="1" si="86">MIN(IF($B38,S36+IF(ISNUMBER(R37),R37,0),S38/$N36),1)</f>
        <v>#N/A</v>
      </c>
      <c r="T37" s="143" t="e">
        <f t="shared" ref="T37" ca="1" si="87">MIN(IF($B38,T36+IF(ISNUMBER(S37),S37,0),T38/$N36),1)</f>
        <v>#N/A</v>
      </c>
      <c r="U37" s="143" t="e">
        <f t="shared" ref="U37" ca="1" si="88">MIN(IF($B38,U36+IF(ISNUMBER(T37),T37,0),U38/$N36),1)</f>
        <v>#N/A</v>
      </c>
      <c r="V37" s="143" t="e">
        <f t="shared" ref="V37" ca="1" si="89">MIN(IF($B38,V36+IF(ISNUMBER(U37),U37,0),V38/$N36),1)</f>
        <v>#N/A</v>
      </c>
      <c r="W37" s="143" t="e">
        <f t="shared" ref="W37" ca="1" si="90">MIN(IF($B38,W36+IF(ISNUMBER(V37),V37,0),W38/$N36),1)</f>
        <v>#N/A</v>
      </c>
      <c r="X37" s="163"/>
      <c r="AC37" s="143" t="e">
        <f t="shared" ref="AC37" ca="1" si="91">MIN(IF($B38,AC36+IF(ISNUMBER(AB37),AB37,0),AC38/$N36),1)</f>
        <v>#N/A</v>
      </c>
    </row>
    <row r="38" spans="1:29" customFormat="1" ht="14.25" x14ac:dyDescent="0.2">
      <c r="A38" s="11">
        <f ca="1">OFFSET(A38,-CFF.NumLinha,0)+1</f>
        <v>7</v>
      </c>
      <c r="B38" s="11" t="e">
        <f ca="1">$C38&gt;=OFFSET($C38,CFF.NumLinha,0)</f>
        <v>#N/A</v>
      </c>
      <c r="C38" s="11" t="e">
        <f ca="1">INDEX(PO!A$12:A$242,MATCH($A38,PO!$V$12:$V$242,0))</f>
        <v>#N/A</v>
      </c>
      <c r="D38" s="11" t="e">
        <f t="shared" ref="D38" ca="1" si="92">IF(ISERROR(J38),I38,SMALL(I38:J38,1))-1</f>
        <v>#N/A</v>
      </c>
      <c r="E38" s="11" t="e">
        <f ca="1">IF($C38=1,OFFSET(E38,-CFF.NumLinha,0)+1,OFFSET(E38,-CFF.NumLinha,0))</f>
        <v>#N/A</v>
      </c>
      <c r="F38" s="11" t="e">
        <f ca="1">IF($C38=1,0,IF($C38=2,OFFSET(F38,-CFF.NumLinha,0)+1,OFFSET(F38,-CFF.NumLinha,0)))</f>
        <v>#N/A</v>
      </c>
      <c r="G38" s="11" t="e">
        <f ca="1">IF(AND($C38&lt;=2,$C38&lt;&gt;0),0,IF($C38=3,OFFSET(G38,-CFF.NumLinha,0)+1,OFFSET(G38,-CFF.NumLinha,0)))</f>
        <v>#N/A</v>
      </c>
      <c r="H38" s="11" t="e">
        <f ca="1">IF(AND($C38&lt;=3,$C38&lt;&gt;0),0,IF($C38=4,OFFSET(H38,-CFF.NumLinha,0)+1,OFFSET(H38,-CFF.NumLinha,0)))</f>
        <v>#N/A</v>
      </c>
      <c r="I38" s="11" t="e">
        <f ca="1">MATCH(0,OFFSET($D38,1,$C38,ROW($A$54)-ROW($A38)),0)</f>
        <v>#N/A</v>
      </c>
      <c r="J38" s="11" t="e">
        <f ca="1">MATCH(OFFSET($D38,0,$C38)+1,OFFSET($D38,1,$C38,ROW($A$54)-ROW($A38)),0)</f>
        <v>#N/A</v>
      </c>
      <c r="K38" s="156" t="e">
        <f ca="1">ROUND(INDEX(PO!T$12:T$242,MATCH($A38,PO!$V$12:$V$242,0)),2)+10^-12</f>
        <v>#N/A</v>
      </c>
      <c r="L38" s="332"/>
      <c r="M38" s="334"/>
      <c r="N38" s="336"/>
      <c r="O38" s="171" t="s">
        <v>20</v>
      </c>
      <c r="P38" s="166" t="e">
        <f t="shared" ref="P38:W38" ca="1" si="93">IF($B38,ROUND(P37*$N36,2),ROUND(SUMIF(OFFSET($B38,1,0,$D38),TRUE,OFFSET(P38,1,0,$D38))/SUMIF(OFFSET($B38,1,0,$D38),TRUE,OFFSET($K38,1,0,$D38))*$N36,2))</f>
        <v>#N/A</v>
      </c>
      <c r="Q38" s="144" t="e">
        <f t="shared" ca="1" si="93"/>
        <v>#N/A</v>
      </c>
      <c r="R38" s="144" t="e">
        <f t="shared" ca="1" si="93"/>
        <v>#N/A</v>
      </c>
      <c r="S38" s="144" t="e">
        <f t="shared" ca="1" si="93"/>
        <v>#N/A</v>
      </c>
      <c r="T38" s="144" t="e">
        <f t="shared" ca="1" si="93"/>
        <v>#N/A</v>
      </c>
      <c r="U38" s="144" t="e">
        <f t="shared" ca="1" si="93"/>
        <v>#N/A</v>
      </c>
      <c r="V38" s="144" t="e">
        <f t="shared" ca="1" si="93"/>
        <v>#N/A</v>
      </c>
      <c r="W38" s="174" t="e">
        <f t="shared" ca="1" si="93"/>
        <v>#N/A</v>
      </c>
      <c r="X38" s="163"/>
      <c r="AC38" s="144" t="e">
        <f t="shared" ref="AC38" ca="1" si="94">IF($B38,ROUND(AC37*$N36,2),ROUND(SUMIF(OFFSET($B38,1,0,$D38),TRUE,OFFSET(AC38,1,0,$D38))/SUMIF(OFFSET($B38,1,0,$D38),TRUE,OFFSET($K38,1,0,$D38))*$N36,2))</f>
        <v>#N/A</v>
      </c>
    </row>
    <row r="39" spans="1:29" customFormat="1" ht="14.25" customHeight="1" x14ac:dyDescent="0.2">
      <c r="A39" s="1"/>
      <c r="B39" s="1"/>
      <c r="C39" s="1"/>
      <c r="D39" s="1"/>
      <c r="E39" s="1"/>
      <c r="F39" s="1"/>
      <c r="G39" s="1"/>
      <c r="H39" s="1"/>
      <c r="I39" s="1"/>
      <c r="J39" s="1"/>
      <c r="K39" s="1"/>
      <c r="L39" s="331" t="e">
        <f ca="1">INDEX(PO!K$12:K$242,MATCH($A41,PO!$V$12:$V$242,0))</f>
        <v>#N/A</v>
      </c>
      <c r="M39" s="333" t="e">
        <f ca="1">INDEX(PO!N$12:N$242,MATCH($A41,PO!$V$12:$V$242,0))</f>
        <v>#N/A</v>
      </c>
      <c r="N39" s="335" t="e">
        <f t="shared" ref="N39" ca="1" si="95">IF(ROUND(K41,2)=0,K41,ROUND(K41,2))</f>
        <v>#N/A</v>
      </c>
      <c r="O39" s="187" t="s">
        <v>143</v>
      </c>
      <c r="P39" s="192">
        <v>1</v>
      </c>
      <c r="Q39" s="193"/>
      <c r="R39" s="193"/>
      <c r="S39" s="193"/>
      <c r="T39" s="193"/>
      <c r="U39" s="193"/>
      <c r="V39" s="193"/>
      <c r="W39" s="194"/>
      <c r="X39" s="163"/>
      <c r="AC39" s="188" t="e">
        <f t="shared" ref="AC39" ca="1" si="96">IF($B41,0,AC40-IF(ISNUMBER(AB40),AB40,0))</f>
        <v>#N/A</v>
      </c>
    </row>
    <row r="40" spans="1:29" customFormat="1" ht="14.25" x14ac:dyDescent="0.2">
      <c r="A40" s="11"/>
      <c r="B40" s="11"/>
      <c r="C40" s="11"/>
      <c r="D40" s="11"/>
      <c r="E40" s="11"/>
      <c r="F40" s="11"/>
      <c r="G40" s="11"/>
      <c r="H40" s="11"/>
      <c r="I40" s="11"/>
      <c r="J40" s="11"/>
      <c r="K40" s="11"/>
      <c r="L40" s="332"/>
      <c r="M40" s="334"/>
      <c r="N40" s="336"/>
      <c r="O40" s="145" t="s">
        <v>145</v>
      </c>
      <c r="P40" s="165" t="e">
        <f t="shared" ref="P40" ca="1" si="97">MIN(IF($B41,P39+IF(ISNUMBER(O40),O40,0),P41/$N39),1)</f>
        <v>#N/A</v>
      </c>
      <c r="Q40" s="143" t="e">
        <f t="shared" ref="Q40" ca="1" si="98">MIN(IF($B41,Q39+IF(ISNUMBER(P40),P40,0),Q41/$N39),1)</f>
        <v>#N/A</v>
      </c>
      <c r="R40" s="143" t="e">
        <f t="shared" ref="R40" ca="1" si="99">MIN(IF($B41,R39+IF(ISNUMBER(Q40),Q40,0),R41/$N39),1)</f>
        <v>#N/A</v>
      </c>
      <c r="S40" s="143" t="e">
        <f t="shared" ref="S40" ca="1" si="100">MIN(IF($B41,S39+IF(ISNUMBER(R40),R40,0),S41/$N39),1)</f>
        <v>#N/A</v>
      </c>
      <c r="T40" s="143" t="e">
        <f t="shared" ref="T40" ca="1" si="101">MIN(IF($B41,T39+IF(ISNUMBER(S40),S40,0),T41/$N39),1)</f>
        <v>#N/A</v>
      </c>
      <c r="U40" s="143" t="e">
        <f t="shared" ref="U40" ca="1" si="102">MIN(IF($B41,U39+IF(ISNUMBER(T40),T40,0),U41/$N39),1)</f>
        <v>#N/A</v>
      </c>
      <c r="V40" s="143" t="e">
        <f t="shared" ref="V40" ca="1" si="103">MIN(IF($B41,V39+IF(ISNUMBER(U40),U40,0),V41/$N39),1)</f>
        <v>#N/A</v>
      </c>
      <c r="W40" s="143" t="e">
        <f t="shared" ref="W40" ca="1" si="104">MIN(IF($B41,W39+IF(ISNUMBER(V40),V40,0),W41/$N39),1)</f>
        <v>#N/A</v>
      </c>
      <c r="X40" s="163"/>
      <c r="AC40" s="143" t="e">
        <f t="shared" ref="AC40" ca="1" si="105">MIN(IF($B41,AC39+IF(ISNUMBER(AB40),AB40,0),AC41/$N39),1)</f>
        <v>#N/A</v>
      </c>
    </row>
    <row r="41" spans="1:29" customFormat="1" ht="14.25" x14ac:dyDescent="0.2">
      <c r="A41" s="11">
        <f ca="1">OFFSET(A41,-CFF.NumLinha,0)+1</f>
        <v>8</v>
      </c>
      <c r="B41" s="11" t="e">
        <f ca="1">$C41&gt;=OFFSET($C41,CFF.NumLinha,0)</f>
        <v>#N/A</v>
      </c>
      <c r="C41" s="11" t="e">
        <f ca="1">INDEX(PO!A$12:A$242,MATCH($A41,PO!$V$12:$V$242,0))</f>
        <v>#N/A</v>
      </c>
      <c r="D41" s="11" t="e">
        <f t="shared" ref="D41" ca="1" si="106">IF(ISERROR(J41),I41,SMALL(I41:J41,1))-1</f>
        <v>#N/A</v>
      </c>
      <c r="E41" s="11" t="e">
        <f ca="1">IF($C41=1,OFFSET(E41,-CFF.NumLinha,0)+1,OFFSET(E41,-CFF.NumLinha,0))</f>
        <v>#N/A</v>
      </c>
      <c r="F41" s="11" t="e">
        <f ca="1">IF($C41=1,0,IF($C41=2,OFFSET(F41,-CFF.NumLinha,0)+1,OFFSET(F41,-CFF.NumLinha,0)))</f>
        <v>#N/A</v>
      </c>
      <c r="G41" s="11" t="e">
        <f ca="1">IF(AND($C41&lt;=2,$C41&lt;&gt;0),0,IF($C41=3,OFFSET(G41,-CFF.NumLinha,0)+1,OFFSET(G41,-CFF.NumLinha,0)))</f>
        <v>#N/A</v>
      </c>
      <c r="H41" s="11" t="e">
        <f ca="1">IF(AND($C41&lt;=3,$C41&lt;&gt;0),0,IF($C41=4,OFFSET(H41,-CFF.NumLinha,0)+1,OFFSET(H41,-CFF.NumLinha,0)))</f>
        <v>#N/A</v>
      </c>
      <c r="I41" s="11" t="e">
        <f ca="1">MATCH(0,OFFSET($D41,1,$C41,ROW($A$54)-ROW($A41)),0)</f>
        <v>#N/A</v>
      </c>
      <c r="J41" s="11" t="e">
        <f ca="1">MATCH(OFFSET($D41,0,$C41)+1,OFFSET($D41,1,$C41,ROW($A$54)-ROW($A41)),0)</f>
        <v>#N/A</v>
      </c>
      <c r="K41" s="156" t="e">
        <f ca="1">ROUND(INDEX(PO!T$12:T$242,MATCH($A41,PO!$V$12:$V$242,0)),2)+10^-12</f>
        <v>#N/A</v>
      </c>
      <c r="L41" s="332"/>
      <c r="M41" s="334"/>
      <c r="N41" s="336"/>
      <c r="O41" s="171" t="s">
        <v>20</v>
      </c>
      <c r="P41" s="166" t="e">
        <f t="shared" ref="P41:W41" ca="1" si="107">IF($B41,ROUND(P40*$N39,2),ROUND(SUMIF(OFFSET($B41,1,0,$D41),TRUE,OFFSET(P41,1,0,$D41))/SUMIF(OFFSET($B41,1,0,$D41),TRUE,OFFSET($K41,1,0,$D41))*$N39,2))</f>
        <v>#N/A</v>
      </c>
      <c r="Q41" s="144" t="e">
        <f t="shared" ca="1" si="107"/>
        <v>#N/A</v>
      </c>
      <c r="R41" s="144" t="e">
        <f t="shared" ca="1" si="107"/>
        <v>#N/A</v>
      </c>
      <c r="S41" s="144" t="e">
        <f t="shared" ca="1" si="107"/>
        <v>#N/A</v>
      </c>
      <c r="T41" s="144" t="e">
        <f t="shared" ca="1" si="107"/>
        <v>#N/A</v>
      </c>
      <c r="U41" s="144" t="e">
        <f t="shared" ca="1" si="107"/>
        <v>#N/A</v>
      </c>
      <c r="V41" s="144" t="e">
        <f t="shared" ca="1" si="107"/>
        <v>#N/A</v>
      </c>
      <c r="W41" s="174" t="e">
        <f t="shared" ca="1" si="107"/>
        <v>#N/A</v>
      </c>
      <c r="X41" s="163"/>
      <c r="AC41" s="144" t="e">
        <f t="shared" ref="AC41" ca="1" si="108">IF($B41,ROUND(AC40*$N39,2),ROUND(SUMIF(OFFSET($B41,1,0,$D41),TRUE,OFFSET(AC41,1,0,$D41))/SUMIF(OFFSET($B41,1,0,$D41),TRUE,OFFSET($K41,1,0,$D41))*$N39,2))</f>
        <v>#N/A</v>
      </c>
    </row>
    <row r="42" spans="1:29" customFormat="1" ht="14.25" customHeight="1" x14ac:dyDescent="0.2">
      <c r="A42" s="1"/>
      <c r="B42" s="1"/>
      <c r="C42" s="1"/>
      <c r="D42" s="1"/>
      <c r="E42" s="1"/>
      <c r="F42" s="1"/>
      <c r="G42" s="1"/>
      <c r="H42" s="1"/>
      <c r="I42" s="1"/>
      <c r="J42" s="1"/>
      <c r="K42" s="1"/>
      <c r="L42" s="331" t="e">
        <f ca="1">INDEX(PO!K$12:K$242,MATCH($A44,PO!$V$12:$V$242,0))</f>
        <v>#N/A</v>
      </c>
      <c r="M42" s="333" t="e">
        <f ca="1">INDEX(PO!N$12:N$242,MATCH($A44,PO!$V$12:$V$242,0))</f>
        <v>#N/A</v>
      </c>
      <c r="N42" s="335" t="e">
        <f t="shared" ref="N42" ca="1" si="109">IF(ROUND(K44,2)=0,K44,ROUND(K44,2))</f>
        <v>#N/A</v>
      </c>
      <c r="O42" s="187" t="s">
        <v>143</v>
      </c>
      <c r="P42" s="192">
        <v>1</v>
      </c>
      <c r="Q42" s="193"/>
      <c r="R42" s="193"/>
      <c r="S42" s="193"/>
      <c r="T42" s="193"/>
      <c r="U42" s="193"/>
      <c r="V42" s="193"/>
      <c r="W42" s="194"/>
      <c r="X42" s="163"/>
      <c r="AC42" s="188" t="e">
        <f t="shared" ref="AC42" ca="1" si="110">IF($B44,0,AC43-IF(ISNUMBER(AB43),AB43,0))</f>
        <v>#N/A</v>
      </c>
    </row>
    <row r="43" spans="1:29" customFormat="1" ht="14.25" x14ac:dyDescent="0.2">
      <c r="A43" s="11"/>
      <c r="B43" s="11"/>
      <c r="C43" s="11"/>
      <c r="D43" s="11"/>
      <c r="E43" s="11"/>
      <c r="F43" s="11"/>
      <c r="G43" s="11"/>
      <c r="H43" s="11"/>
      <c r="I43" s="11"/>
      <c r="J43" s="11"/>
      <c r="K43" s="11"/>
      <c r="L43" s="332"/>
      <c r="M43" s="334"/>
      <c r="N43" s="336"/>
      <c r="O43" s="145" t="s">
        <v>145</v>
      </c>
      <c r="P43" s="165" t="e">
        <f t="shared" ref="P43" ca="1" si="111">MIN(IF($B44,P42+IF(ISNUMBER(O43),O43,0),P44/$N42),1)</f>
        <v>#N/A</v>
      </c>
      <c r="Q43" s="143" t="e">
        <f t="shared" ref="Q43" ca="1" si="112">MIN(IF($B44,Q42+IF(ISNUMBER(P43),P43,0),Q44/$N42),1)</f>
        <v>#N/A</v>
      </c>
      <c r="R43" s="143" t="e">
        <f t="shared" ref="R43" ca="1" si="113">MIN(IF($B44,R42+IF(ISNUMBER(Q43),Q43,0),R44/$N42),1)</f>
        <v>#N/A</v>
      </c>
      <c r="S43" s="143" t="e">
        <f t="shared" ref="S43" ca="1" si="114">MIN(IF($B44,S42+IF(ISNUMBER(R43),R43,0),S44/$N42),1)</f>
        <v>#N/A</v>
      </c>
      <c r="T43" s="143" t="e">
        <f t="shared" ref="T43" ca="1" si="115">MIN(IF($B44,T42+IF(ISNUMBER(S43),S43,0),T44/$N42),1)</f>
        <v>#N/A</v>
      </c>
      <c r="U43" s="143" t="e">
        <f t="shared" ref="U43" ca="1" si="116">MIN(IF($B44,U42+IF(ISNUMBER(T43),T43,0),U44/$N42),1)</f>
        <v>#N/A</v>
      </c>
      <c r="V43" s="143" t="e">
        <f t="shared" ref="V43" ca="1" si="117">MIN(IF($B44,V42+IF(ISNUMBER(U43),U43,0),V44/$N42),1)</f>
        <v>#N/A</v>
      </c>
      <c r="W43" s="143" t="e">
        <f t="shared" ref="W43" ca="1" si="118">MIN(IF($B44,W42+IF(ISNUMBER(V43),V43,0),W44/$N42),1)</f>
        <v>#N/A</v>
      </c>
      <c r="X43" s="163"/>
      <c r="AC43" s="143" t="e">
        <f t="shared" ref="AC43" ca="1" si="119">MIN(IF($B44,AC42+IF(ISNUMBER(AB43),AB43,0),AC44/$N42),1)</f>
        <v>#N/A</v>
      </c>
    </row>
    <row r="44" spans="1:29" customFormat="1" ht="14.25" x14ac:dyDescent="0.2">
      <c r="A44" s="11">
        <f ca="1">OFFSET(A44,-CFF.NumLinha,0)+1</f>
        <v>9</v>
      </c>
      <c r="B44" s="11" t="e">
        <f ca="1">$C44&gt;=OFFSET($C44,CFF.NumLinha,0)</f>
        <v>#N/A</v>
      </c>
      <c r="C44" s="11" t="e">
        <f ca="1">INDEX(PO!A$12:A$242,MATCH($A44,PO!$V$12:$V$242,0))</f>
        <v>#N/A</v>
      </c>
      <c r="D44" s="11" t="e">
        <f t="shared" ref="D44" ca="1" si="120">IF(ISERROR(J44),I44,SMALL(I44:J44,1))-1</f>
        <v>#N/A</v>
      </c>
      <c r="E44" s="11" t="e">
        <f ca="1">IF($C44=1,OFFSET(E44,-CFF.NumLinha,0)+1,OFFSET(E44,-CFF.NumLinha,0))</f>
        <v>#N/A</v>
      </c>
      <c r="F44" s="11" t="e">
        <f ca="1">IF($C44=1,0,IF($C44=2,OFFSET(F44,-CFF.NumLinha,0)+1,OFFSET(F44,-CFF.NumLinha,0)))</f>
        <v>#N/A</v>
      </c>
      <c r="G44" s="11" t="e">
        <f ca="1">IF(AND($C44&lt;=2,$C44&lt;&gt;0),0,IF($C44=3,OFFSET(G44,-CFF.NumLinha,0)+1,OFFSET(G44,-CFF.NumLinha,0)))</f>
        <v>#N/A</v>
      </c>
      <c r="H44" s="11" t="e">
        <f ca="1">IF(AND($C44&lt;=3,$C44&lt;&gt;0),0,IF($C44=4,OFFSET(H44,-CFF.NumLinha,0)+1,OFFSET(H44,-CFF.NumLinha,0)))</f>
        <v>#N/A</v>
      </c>
      <c r="I44" s="11" t="e">
        <f ca="1">MATCH(0,OFFSET($D44,1,$C44,ROW($A$54)-ROW($A44)),0)</f>
        <v>#N/A</v>
      </c>
      <c r="J44" s="11" t="e">
        <f ca="1">MATCH(OFFSET($D44,0,$C44)+1,OFFSET($D44,1,$C44,ROW($A$54)-ROW($A44)),0)</f>
        <v>#N/A</v>
      </c>
      <c r="K44" s="156" t="e">
        <f ca="1">ROUND(INDEX(PO!T$12:T$242,MATCH($A44,PO!$V$12:$V$242,0)),2)+10^-12</f>
        <v>#N/A</v>
      </c>
      <c r="L44" s="332"/>
      <c r="M44" s="334"/>
      <c r="N44" s="336"/>
      <c r="O44" s="171" t="s">
        <v>20</v>
      </c>
      <c r="P44" s="166" t="e">
        <f t="shared" ref="P44:W44" ca="1" si="121">IF($B44,ROUND(P43*$N42,2),ROUND(SUMIF(OFFSET($B44,1,0,$D44),TRUE,OFFSET(P44,1,0,$D44))/SUMIF(OFFSET($B44,1,0,$D44),TRUE,OFFSET($K44,1,0,$D44))*$N42,2))</f>
        <v>#N/A</v>
      </c>
      <c r="Q44" s="144" t="e">
        <f t="shared" ca="1" si="121"/>
        <v>#N/A</v>
      </c>
      <c r="R44" s="144" t="e">
        <f t="shared" ca="1" si="121"/>
        <v>#N/A</v>
      </c>
      <c r="S44" s="144" t="e">
        <f t="shared" ca="1" si="121"/>
        <v>#N/A</v>
      </c>
      <c r="T44" s="144" t="e">
        <f t="shared" ca="1" si="121"/>
        <v>#N/A</v>
      </c>
      <c r="U44" s="144" t="e">
        <f t="shared" ca="1" si="121"/>
        <v>#N/A</v>
      </c>
      <c r="V44" s="144" t="e">
        <f t="shared" ca="1" si="121"/>
        <v>#N/A</v>
      </c>
      <c r="W44" s="174" t="e">
        <f t="shared" ca="1" si="121"/>
        <v>#N/A</v>
      </c>
      <c r="X44" s="163"/>
      <c r="AC44" s="144" t="e">
        <f t="shared" ref="AC44" ca="1" si="122">IF($B44,ROUND(AC43*$N42,2),ROUND(SUMIF(OFFSET($B44,1,0,$D44),TRUE,OFFSET(AC44,1,0,$D44))/SUMIF(OFFSET($B44,1,0,$D44),TRUE,OFFSET($K44,1,0,$D44))*$N42,2))</f>
        <v>#N/A</v>
      </c>
    </row>
    <row r="45" spans="1:29" customFormat="1" ht="14.25" customHeight="1" x14ac:dyDescent="0.2">
      <c r="A45" s="1"/>
      <c r="B45" s="1"/>
      <c r="C45" s="1"/>
      <c r="D45" s="1"/>
      <c r="E45" s="1"/>
      <c r="F45" s="1"/>
      <c r="G45" s="1"/>
      <c r="H45" s="1"/>
      <c r="I45" s="1"/>
      <c r="J45" s="1"/>
      <c r="K45" s="1"/>
      <c r="L45" s="331" t="e">
        <f ca="1">INDEX(PO!K$12:K$242,MATCH($A47,PO!$V$12:$V$242,0))</f>
        <v>#N/A</v>
      </c>
      <c r="M45" s="333" t="e">
        <f ca="1">INDEX(PO!N$12:N$242,MATCH($A47,PO!$V$12:$V$242,0))</f>
        <v>#N/A</v>
      </c>
      <c r="N45" s="335" t="e">
        <f t="shared" ref="N45" ca="1" si="123">IF(ROUND(K47,2)=0,K47,ROUND(K47,2))</f>
        <v>#N/A</v>
      </c>
      <c r="O45" s="187" t="s">
        <v>143</v>
      </c>
      <c r="P45" s="192">
        <v>1</v>
      </c>
      <c r="Q45" s="193" t="e">
        <f t="shared" ref="Q45" ca="1" si="124">IF($B47,0,Q46-IF(ISNUMBER(P46),P46,0))</f>
        <v>#N/A</v>
      </c>
      <c r="R45" s="193" t="e">
        <f t="shared" ref="R45" ca="1" si="125">IF($B47,0,R46-IF(ISNUMBER(Q46),Q46,0))</f>
        <v>#N/A</v>
      </c>
      <c r="S45" s="193" t="e">
        <f t="shared" ref="S45" ca="1" si="126">IF($B47,0,S46-IF(ISNUMBER(R46),R46,0))</f>
        <v>#N/A</v>
      </c>
      <c r="T45" s="193" t="e">
        <f t="shared" ref="T45" ca="1" si="127">IF($B47,0,T46-IF(ISNUMBER(S46),S46,0))</f>
        <v>#N/A</v>
      </c>
      <c r="U45" s="193" t="e">
        <f t="shared" ref="U45" ca="1" si="128">IF($B47,0,U46-IF(ISNUMBER(T46),T46,0))</f>
        <v>#N/A</v>
      </c>
      <c r="V45" s="193" t="e">
        <f t="shared" ref="V45" ca="1" si="129">IF($B47,0,V46-IF(ISNUMBER(U46),U46,0))</f>
        <v>#N/A</v>
      </c>
      <c r="W45" s="194" t="e">
        <f t="shared" ref="W45" ca="1" si="130">IF($B47,0,W46-IF(ISNUMBER(V46),V46,0))</f>
        <v>#N/A</v>
      </c>
      <c r="X45" s="163"/>
      <c r="AC45" s="188" t="e">
        <f t="shared" ref="AC45" ca="1" si="131">IF($B47,0,AC46-IF(ISNUMBER(AB46),AB46,0))</f>
        <v>#N/A</v>
      </c>
    </row>
    <row r="46" spans="1:29" customFormat="1" ht="14.25" x14ac:dyDescent="0.2">
      <c r="A46" s="11"/>
      <c r="B46" s="11"/>
      <c r="C46" s="11"/>
      <c r="D46" s="11"/>
      <c r="E46" s="11"/>
      <c r="F46" s="11"/>
      <c r="G46" s="11"/>
      <c r="H46" s="11"/>
      <c r="I46" s="11"/>
      <c r="J46" s="11"/>
      <c r="K46" s="11"/>
      <c r="L46" s="332"/>
      <c r="M46" s="334"/>
      <c r="N46" s="336"/>
      <c r="O46" s="145" t="s">
        <v>145</v>
      </c>
      <c r="P46" s="165" t="e">
        <f t="shared" ref="P46" ca="1" si="132">MIN(IF($B47,P45+IF(ISNUMBER(O46),O46,0),P47/$N45),1)</f>
        <v>#N/A</v>
      </c>
      <c r="Q46" s="143" t="e">
        <f t="shared" ref="Q46" ca="1" si="133">MIN(IF($B47,Q45+IF(ISNUMBER(P46),P46,0),Q47/$N45),1)</f>
        <v>#N/A</v>
      </c>
      <c r="R46" s="143" t="e">
        <f t="shared" ref="R46" ca="1" si="134">MIN(IF($B47,R45+IF(ISNUMBER(Q46),Q46,0),R47/$N45),1)</f>
        <v>#N/A</v>
      </c>
      <c r="S46" s="143" t="e">
        <f t="shared" ref="S46" ca="1" si="135">MIN(IF($B47,S45+IF(ISNUMBER(R46),R46,0),S47/$N45),1)</f>
        <v>#N/A</v>
      </c>
      <c r="T46" s="143" t="e">
        <f t="shared" ref="T46" ca="1" si="136">MIN(IF($B47,T45+IF(ISNUMBER(S46),S46,0),T47/$N45),1)</f>
        <v>#N/A</v>
      </c>
      <c r="U46" s="143" t="e">
        <f t="shared" ref="U46" ca="1" si="137">MIN(IF($B47,U45+IF(ISNUMBER(T46),T46,0),U47/$N45),1)</f>
        <v>#N/A</v>
      </c>
      <c r="V46" s="143" t="e">
        <f t="shared" ref="V46" ca="1" si="138">MIN(IF($B47,V45+IF(ISNUMBER(U46),U46,0),V47/$N45),1)</f>
        <v>#N/A</v>
      </c>
      <c r="W46" s="143" t="e">
        <f t="shared" ref="W46" ca="1" si="139">MIN(IF($B47,W45+IF(ISNUMBER(V46),V46,0),W47/$N45),1)</f>
        <v>#N/A</v>
      </c>
      <c r="X46" s="163"/>
      <c r="AC46" s="143" t="e">
        <f t="shared" ref="AC46" ca="1" si="140">MIN(IF($B47,AC45+IF(ISNUMBER(AB46),AB46,0),AC47/$N45),1)</f>
        <v>#N/A</v>
      </c>
    </row>
    <row r="47" spans="1:29" customFormat="1" ht="14.25" x14ac:dyDescent="0.2">
      <c r="A47" s="11">
        <f ca="1">OFFSET(A47,-CFF.NumLinha,0)+1</f>
        <v>10</v>
      </c>
      <c r="B47" s="11" t="e">
        <f ca="1">$C47&gt;=OFFSET($C47,CFF.NumLinha,0)</f>
        <v>#N/A</v>
      </c>
      <c r="C47" s="11" t="e">
        <f ca="1">INDEX(PO!A$12:A$242,MATCH($A47,PO!$V$12:$V$242,0))</f>
        <v>#N/A</v>
      </c>
      <c r="D47" s="11" t="e">
        <f t="shared" ref="D47" ca="1" si="141">IF(ISERROR(J47),I47,SMALL(I47:J47,1))-1</f>
        <v>#N/A</v>
      </c>
      <c r="E47" s="11" t="e">
        <f ca="1">IF($C47=1,OFFSET(E47,-CFF.NumLinha,0)+1,OFFSET(E47,-CFF.NumLinha,0))</f>
        <v>#N/A</v>
      </c>
      <c r="F47" s="11" t="e">
        <f ca="1">IF($C47=1,0,IF($C47=2,OFFSET(F47,-CFF.NumLinha,0)+1,OFFSET(F47,-CFF.NumLinha,0)))</f>
        <v>#N/A</v>
      </c>
      <c r="G47" s="11" t="e">
        <f ca="1">IF(AND($C47&lt;=2,$C47&lt;&gt;0),0,IF($C47=3,OFFSET(G47,-CFF.NumLinha,0)+1,OFFSET(G47,-CFF.NumLinha,0)))</f>
        <v>#N/A</v>
      </c>
      <c r="H47" s="11" t="e">
        <f ca="1">IF(AND($C47&lt;=3,$C47&lt;&gt;0),0,IF($C47=4,OFFSET(H47,-CFF.NumLinha,0)+1,OFFSET(H47,-CFF.NumLinha,0)))</f>
        <v>#N/A</v>
      </c>
      <c r="I47" s="11" t="e">
        <f ca="1">MATCH(0,OFFSET($D47,1,$C47,ROW($A$54)-ROW($A47)),0)</f>
        <v>#N/A</v>
      </c>
      <c r="J47" s="11" t="e">
        <f ca="1">MATCH(OFFSET($D47,0,$C47)+1,OFFSET($D47,1,$C47,ROW($A$54)-ROW($A47)),0)</f>
        <v>#N/A</v>
      </c>
      <c r="K47" s="156" t="e">
        <f ca="1">ROUND(INDEX(PO!T$12:T$242,MATCH($A47,PO!$V$12:$V$242,0)),2)+10^-12</f>
        <v>#N/A</v>
      </c>
      <c r="L47" s="332"/>
      <c r="M47" s="334"/>
      <c r="N47" s="336"/>
      <c r="O47" s="171" t="s">
        <v>20</v>
      </c>
      <c r="P47" s="166" t="e">
        <f t="shared" ref="P47:W47" ca="1" si="142">IF($B47,ROUND(P46*$N45,2),ROUND(SUMIF(OFFSET($B47,1,0,$D47),TRUE,OFFSET(P47,1,0,$D47))/SUMIF(OFFSET($B47,1,0,$D47),TRUE,OFFSET($K47,1,0,$D47))*$N45,2))</f>
        <v>#N/A</v>
      </c>
      <c r="Q47" s="144" t="e">
        <f t="shared" ca="1" si="142"/>
        <v>#N/A</v>
      </c>
      <c r="R47" s="144" t="e">
        <f t="shared" ca="1" si="142"/>
        <v>#N/A</v>
      </c>
      <c r="S47" s="144" t="e">
        <f t="shared" ca="1" si="142"/>
        <v>#N/A</v>
      </c>
      <c r="T47" s="144" t="e">
        <f t="shared" ca="1" si="142"/>
        <v>#N/A</v>
      </c>
      <c r="U47" s="144" t="e">
        <f t="shared" ca="1" si="142"/>
        <v>#N/A</v>
      </c>
      <c r="V47" s="144" t="e">
        <f t="shared" ca="1" si="142"/>
        <v>#N/A</v>
      </c>
      <c r="W47" s="174" t="e">
        <f t="shared" ca="1" si="142"/>
        <v>#N/A</v>
      </c>
      <c r="X47" s="163"/>
      <c r="AC47" s="144" t="e">
        <f t="shared" ref="AC47" ca="1" si="143">IF($B47,ROUND(AC46*$N45,2),ROUND(SUMIF(OFFSET($B47,1,0,$D47),TRUE,OFFSET(AC47,1,0,$D47))/SUMIF(OFFSET($B47,1,0,$D47),TRUE,OFFSET($K47,1,0,$D47))*$N45,2))</f>
        <v>#N/A</v>
      </c>
    </row>
    <row r="48" spans="1:29" customFormat="1" ht="14.25" customHeight="1" x14ac:dyDescent="0.2">
      <c r="A48" s="1"/>
      <c r="B48" s="1"/>
      <c r="C48" s="1"/>
      <c r="D48" s="1"/>
      <c r="E48" s="1"/>
      <c r="F48" s="1"/>
      <c r="G48" s="1"/>
      <c r="H48" s="1"/>
      <c r="I48" s="1"/>
      <c r="J48" s="1"/>
      <c r="K48" s="1"/>
      <c r="L48" s="331" t="e">
        <f ca="1">INDEX(PO!K$12:K$242,MATCH($A50,PO!$V$12:$V$242,0))</f>
        <v>#N/A</v>
      </c>
      <c r="M48" s="333" t="e">
        <f ca="1">INDEX(PO!N$12:N$242,MATCH($A50,PO!$V$12:$V$242,0))</f>
        <v>#N/A</v>
      </c>
      <c r="N48" s="335" t="e">
        <f t="shared" ref="N48" ca="1" si="144">IF(ROUND(K50,2)=0,K50,ROUND(K50,2))</f>
        <v>#N/A</v>
      </c>
      <c r="O48" s="187" t="s">
        <v>143</v>
      </c>
      <c r="P48" s="192">
        <v>1</v>
      </c>
      <c r="Q48" s="193"/>
      <c r="R48" s="193"/>
      <c r="S48" s="193"/>
      <c r="T48" s="193"/>
      <c r="U48" s="193"/>
      <c r="V48" s="193"/>
      <c r="W48" s="194"/>
      <c r="X48" s="163"/>
      <c r="AC48" s="188" t="e">
        <f t="shared" ref="AC48" ca="1" si="145">IF($B50,0,AC49-IF(ISNUMBER(AB49),AB49,0))</f>
        <v>#N/A</v>
      </c>
    </row>
    <row r="49" spans="1:29" customFormat="1" ht="14.25" x14ac:dyDescent="0.2">
      <c r="A49" s="11"/>
      <c r="B49" s="11"/>
      <c r="C49" s="11"/>
      <c r="D49" s="11"/>
      <c r="E49" s="11"/>
      <c r="F49" s="11"/>
      <c r="G49" s="11"/>
      <c r="H49" s="11"/>
      <c r="I49" s="11"/>
      <c r="J49" s="11"/>
      <c r="K49" s="11"/>
      <c r="L49" s="332"/>
      <c r="M49" s="334"/>
      <c r="N49" s="336"/>
      <c r="O49" s="145" t="s">
        <v>145</v>
      </c>
      <c r="P49" s="165" t="e">
        <f t="shared" ref="P49" ca="1" si="146">MIN(IF($B50,P48+IF(ISNUMBER(O49),O49,0),P50/$N48),1)</f>
        <v>#N/A</v>
      </c>
      <c r="Q49" s="143" t="e">
        <f t="shared" ref="Q49" ca="1" si="147">MIN(IF($B50,Q48+IF(ISNUMBER(P49),P49,0),Q50/$N48),1)</f>
        <v>#N/A</v>
      </c>
      <c r="R49" s="143" t="e">
        <f t="shared" ref="R49" ca="1" si="148">MIN(IF($B50,R48+IF(ISNUMBER(Q49),Q49,0),R50/$N48),1)</f>
        <v>#N/A</v>
      </c>
      <c r="S49" s="143" t="e">
        <f t="shared" ref="S49" ca="1" si="149">MIN(IF($B50,S48+IF(ISNUMBER(R49),R49,0),S50/$N48),1)</f>
        <v>#N/A</v>
      </c>
      <c r="T49" s="143" t="e">
        <f t="shared" ref="T49" ca="1" si="150">MIN(IF($B50,T48+IF(ISNUMBER(S49),S49,0),T50/$N48),1)</f>
        <v>#N/A</v>
      </c>
      <c r="U49" s="143" t="e">
        <f t="shared" ref="U49" ca="1" si="151">MIN(IF($B50,U48+IF(ISNUMBER(T49),T49,0),U50/$N48),1)</f>
        <v>#N/A</v>
      </c>
      <c r="V49" s="143" t="e">
        <f t="shared" ref="V49" ca="1" si="152">MIN(IF($B50,V48+IF(ISNUMBER(U49),U49,0),V50/$N48),1)</f>
        <v>#N/A</v>
      </c>
      <c r="W49" s="143" t="e">
        <f t="shared" ref="W49" ca="1" si="153">MIN(IF($B50,W48+IF(ISNUMBER(V49),V49,0),W50/$N48),1)</f>
        <v>#N/A</v>
      </c>
      <c r="X49" s="163"/>
      <c r="AC49" s="143" t="e">
        <f t="shared" ref="AC49" ca="1" si="154">MIN(IF($B50,AC48+IF(ISNUMBER(AB49),AB49,0),AC50/$N48),1)</f>
        <v>#N/A</v>
      </c>
    </row>
    <row r="50" spans="1:29" customFormat="1" ht="14.25" x14ac:dyDescent="0.2">
      <c r="A50" s="11">
        <f ca="1">OFFSET(A50,-CFF.NumLinha,0)+1</f>
        <v>11</v>
      </c>
      <c r="B50" s="11" t="e">
        <f ca="1">$C50&gt;=OFFSET($C50,CFF.NumLinha,0)</f>
        <v>#N/A</v>
      </c>
      <c r="C50" s="11" t="e">
        <f ca="1">INDEX(PO!A$12:A$242,MATCH($A50,PO!$V$12:$V$242,0))</f>
        <v>#N/A</v>
      </c>
      <c r="D50" s="11" t="e">
        <f t="shared" ref="D50" ca="1" si="155">IF(ISERROR(J50),I50,SMALL(I50:J50,1))-1</f>
        <v>#N/A</v>
      </c>
      <c r="E50" s="11" t="e">
        <f ca="1">IF($C50=1,OFFSET(E50,-CFF.NumLinha,0)+1,OFFSET(E50,-CFF.NumLinha,0))</f>
        <v>#N/A</v>
      </c>
      <c r="F50" s="11" t="e">
        <f ca="1">IF($C50=1,0,IF($C50=2,OFFSET(F50,-CFF.NumLinha,0)+1,OFFSET(F50,-CFF.NumLinha,0)))</f>
        <v>#N/A</v>
      </c>
      <c r="G50" s="11" t="e">
        <f ca="1">IF(AND($C50&lt;=2,$C50&lt;&gt;0),0,IF($C50=3,OFFSET(G50,-CFF.NumLinha,0)+1,OFFSET(G50,-CFF.NumLinha,0)))</f>
        <v>#N/A</v>
      </c>
      <c r="H50" s="11" t="e">
        <f ca="1">IF(AND($C50&lt;=3,$C50&lt;&gt;0),0,IF($C50=4,OFFSET(H50,-CFF.NumLinha,0)+1,OFFSET(H50,-CFF.NumLinha,0)))</f>
        <v>#N/A</v>
      </c>
      <c r="I50" s="11" t="e">
        <f ca="1">MATCH(0,OFFSET($D50,1,$C50,ROW($A$54)-ROW($A50)),0)</f>
        <v>#N/A</v>
      </c>
      <c r="J50" s="11" t="e">
        <f ca="1">MATCH(OFFSET($D50,0,$C50)+1,OFFSET($D50,1,$C50,ROW($A$54)-ROW($A50)),0)</f>
        <v>#N/A</v>
      </c>
      <c r="K50" s="156" t="e">
        <f ca="1">ROUND(INDEX(PO!T$12:T$242,MATCH($A50,PO!$V$12:$V$242,0)),2)+10^-12</f>
        <v>#N/A</v>
      </c>
      <c r="L50" s="332"/>
      <c r="M50" s="334"/>
      <c r="N50" s="336"/>
      <c r="O50" s="171" t="s">
        <v>20</v>
      </c>
      <c r="P50" s="166" t="e">
        <f t="shared" ref="P50:W50" ca="1" si="156">IF($B50,ROUND(P49*$N48,2),ROUND(SUMIF(OFFSET($B50,1,0,$D50),TRUE,OFFSET(P50,1,0,$D50))/SUMIF(OFFSET($B50,1,0,$D50),TRUE,OFFSET($K50,1,0,$D50))*$N48,2))</f>
        <v>#N/A</v>
      </c>
      <c r="Q50" s="144" t="e">
        <f t="shared" ca="1" si="156"/>
        <v>#N/A</v>
      </c>
      <c r="R50" s="144" t="e">
        <f t="shared" ca="1" si="156"/>
        <v>#N/A</v>
      </c>
      <c r="S50" s="144" t="e">
        <f t="shared" ca="1" si="156"/>
        <v>#N/A</v>
      </c>
      <c r="T50" s="144" t="e">
        <f t="shared" ca="1" si="156"/>
        <v>#N/A</v>
      </c>
      <c r="U50" s="144" t="e">
        <f t="shared" ca="1" si="156"/>
        <v>#N/A</v>
      </c>
      <c r="V50" s="144" t="e">
        <f t="shared" ca="1" si="156"/>
        <v>#N/A</v>
      </c>
      <c r="W50" s="174" t="e">
        <f t="shared" ca="1" si="156"/>
        <v>#N/A</v>
      </c>
      <c r="X50" s="163"/>
      <c r="AC50" s="144" t="e">
        <f t="shared" ref="AC50" ca="1" si="157">IF($B50,ROUND(AC49*$N48,2),ROUND(SUMIF(OFFSET($B50,1,0,$D50),TRUE,OFFSET(AC50,1,0,$D50))/SUMIF(OFFSET($B50,1,0,$D50),TRUE,OFFSET($K50,1,0,$D50))*$N48,2))</f>
        <v>#N/A</v>
      </c>
    </row>
    <row r="51" spans="1:29" customFormat="1" ht="14.25" customHeight="1" x14ac:dyDescent="0.2">
      <c r="A51" s="1"/>
      <c r="B51" s="1"/>
      <c r="C51" s="1"/>
      <c r="D51" s="1"/>
      <c r="E51" s="1"/>
      <c r="F51" s="1"/>
      <c r="G51" s="1"/>
      <c r="H51" s="1"/>
      <c r="I51" s="1"/>
      <c r="J51" s="1"/>
      <c r="K51" s="1"/>
      <c r="L51" s="331" t="e">
        <f ca="1">INDEX(PO!K$12:K$242,MATCH($A53,PO!$V$12:$V$242,0))</f>
        <v>#N/A</v>
      </c>
      <c r="M51" s="333" t="e">
        <f ca="1">INDEX(PO!N$12:N$242,MATCH($A53,PO!$V$12:$V$242,0))</f>
        <v>#N/A</v>
      </c>
      <c r="N51" s="335" t="e">
        <f t="shared" ref="N51" ca="1" si="158">IF(ROUND(K53,2)=0,K53,ROUND(K53,2))</f>
        <v>#N/A</v>
      </c>
      <c r="O51" s="187" t="s">
        <v>143</v>
      </c>
      <c r="P51" s="192">
        <v>1</v>
      </c>
      <c r="Q51" s="193"/>
      <c r="R51" s="193"/>
      <c r="S51" s="193"/>
      <c r="T51" s="193"/>
      <c r="U51" s="193"/>
      <c r="V51" s="193"/>
      <c r="W51" s="194"/>
      <c r="X51" s="163"/>
      <c r="AC51" s="188" t="e">
        <f t="shared" ref="AC51" ca="1" si="159">IF($B53,0,AC52-IF(ISNUMBER(AB52),AB52,0))</f>
        <v>#N/A</v>
      </c>
    </row>
    <row r="52" spans="1:29" customFormat="1" ht="14.25" x14ac:dyDescent="0.2">
      <c r="A52" s="11"/>
      <c r="B52" s="11"/>
      <c r="C52" s="11"/>
      <c r="D52" s="11"/>
      <c r="E52" s="11"/>
      <c r="F52" s="11"/>
      <c r="G52" s="11"/>
      <c r="H52" s="11"/>
      <c r="I52" s="11"/>
      <c r="J52" s="11"/>
      <c r="K52" s="11"/>
      <c r="L52" s="332"/>
      <c r="M52" s="334"/>
      <c r="N52" s="336"/>
      <c r="O52" s="145" t="s">
        <v>145</v>
      </c>
      <c r="P52" s="165" t="e">
        <f t="shared" ref="P52" ca="1" si="160">MIN(IF($B53,P51+IF(ISNUMBER(O52),O52,0),P53/$N51),1)</f>
        <v>#N/A</v>
      </c>
      <c r="Q52" s="143" t="e">
        <f t="shared" ref="Q52" ca="1" si="161">MIN(IF($B53,Q51+IF(ISNUMBER(P52),P52,0),Q53/$N51),1)</f>
        <v>#N/A</v>
      </c>
      <c r="R52" s="143" t="e">
        <f t="shared" ref="R52" ca="1" si="162">MIN(IF($B53,R51+IF(ISNUMBER(Q52),Q52,0),R53/$N51),1)</f>
        <v>#N/A</v>
      </c>
      <c r="S52" s="143" t="e">
        <f t="shared" ref="S52" ca="1" si="163">MIN(IF($B53,S51+IF(ISNUMBER(R52),R52,0),S53/$N51),1)</f>
        <v>#N/A</v>
      </c>
      <c r="T52" s="143" t="e">
        <f t="shared" ref="T52" ca="1" si="164">MIN(IF($B53,T51+IF(ISNUMBER(S52),S52,0),T53/$N51),1)</f>
        <v>#N/A</v>
      </c>
      <c r="U52" s="143" t="e">
        <f t="shared" ref="U52" ca="1" si="165">MIN(IF($B53,U51+IF(ISNUMBER(T52),T52,0),U53/$N51),1)</f>
        <v>#N/A</v>
      </c>
      <c r="V52" s="143" t="e">
        <f t="shared" ref="V52" ca="1" si="166">MIN(IF($B53,V51+IF(ISNUMBER(U52),U52,0),V53/$N51),1)</f>
        <v>#N/A</v>
      </c>
      <c r="W52" s="143" t="e">
        <f t="shared" ref="W52" ca="1" si="167">MIN(IF($B53,W51+IF(ISNUMBER(V52),V52,0),W53/$N51),1)</f>
        <v>#N/A</v>
      </c>
      <c r="X52" s="163"/>
      <c r="AC52" s="143" t="e">
        <f t="shared" ref="AC52" ca="1" si="168">MIN(IF($B53,AC51+IF(ISNUMBER(AB52),AB52,0),AC53/$N51),1)</f>
        <v>#N/A</v>
      </c>
    </row>
    <row r="53" spans="1:29" customFormat="1" ht="14.25" x14ac:dyDescent="0.2">
      <c r="A53" s="11">
        <f ca="1">OFFSET(A53,-CFF.NumLinha,0)+1</f>
        <v>12</v>
      </c>
      <c r="B53" s="11" t="e">
        <f ca="1">$C53&gt;=OFFSET($C53,CFF.NumLinha,0)</f>
        <v>#N/A</v>
      </c>
      <c r="C53" s="11" t="e">
        <f ca="1">INDEX(PO!A$12:A$242,MATCH($A53,PO!$V$12:$V$242,0))</f>
        <v>#N/A</v>
      </c>
      <c r="D53" s="11" t="e">
        <f t="shared" ref="D53" ca="1" si="169">IF(ISERROR(J53),I53,SMALL(I53:J53,1))-1</f>
        <v>#N/A</v>
      </c>
      <c r="E53" s="11" t="e">
        <f ca="1">IF($C53=1,OFFSET(E53,-CFF.NumLinha,0)+1,OFFSET(E53,-CFF.NumLinha,0))</f>
        <v>#N/A</v>
      </c>
      <c r="F53" s="11" t="e">
        <f ca="1">IF($C53=1,0,IF($C53=2,OFFSET(F53,-CFF.NumLinha,0)+1,OFFSET(F53,-CFF.NumLinha,0)))</f>
        <v>#N/A</v>
      </c>
      <c r="G53" s="11" t="e">
        <f ca="1">IF(AND($C53&lt;=2,$C53&lt;&gt;0),0,IF($C53=3,OFFSET(G53,-CFF.NumLinha,0)+1,OFFSET(G53,-CFF.NumLinha,0)))</f>
        <v>#N/A</v>
      </c>
      <c r="H53" s="11" t="e">
        <f ca="1">IF(AND($C53&lt;=3,$C53&lt;&gt;0),0,IF($C53=4,OFFSET(H53,-CFF.NumLinha,0)+1,OFFSET(H53,-CFF.NumLinha,0)))</f>
        <v>#N/A</v>
      </c>
      <c r="I53" s="11" t="e">
        <f ca="1">MATCH(0,OFFSET($D53,1,$C53,ROW($A$54)-ROW($A53)),0)</f>
        <v>#N/A</v>
      </c>
      <c r="J53" s="11" t="e">
        <f ca="1">MATCH(OFFSET($D53,0,$C53)+1,OFFSET($D53,1,$C53,ROW($A$54)-ROW($A53)),0)</f>
        <v>#N/A</v>
      </c>
      <c r="K53" s="156" t="e">
        <f ca="1">ROUND(INDEX(PO!T$12:T$242,MATCH($A53,PO!$V$12:$V$242,0)),2)+10^-12</f>
        <v>#N/A</v>
      </c>
      <c r="L53" s="332"/>
      <c r="M53" s="334"/>
      <c r="N53" s="336"/>
      <c r="O53" s="171" t="s">
        <v>20</v>
      </c>
      <c r="P53" s="166" t="e">
        <f t="shared" ref="P53:W53" ca="1" si="170">IF($B53,ROUND(P52*$N51,2),ROUND(SUMIF(OFFSET($B53,1,0,$D53),TRUE,OFFSET(P53,1,0,$D53))/SUMIF(OFFSET($B53,1,0,$D53),TRUE,OFFSET($K53,1,0,$D53))*$N51,2))</f>
        <v>#N/A</v>
      </c>
      <c r="Q53" s="144" t="e">
        <f t="shared" ca="1" si="170"/>
        <v>#N/A</v>
      </c>
      <c r="R53" s="144" t="e">
        <f t="shared" ca="1" si="170"/>
        <v>#N/A</v>
      </c>
      <c r="S53" s="144" t="e">
        <f t="shared" ca="1" si="170"/>
        <v>#N/A</v>
      </c>
      <c r="T53" s="144" t="e">
        <f t="shared" ca="1" si="170"/>
        <v>#N/A</v>
      </c>
      <c r="U53" s="144" t="e">
        <f t="shared" ca="1" si="170"/>
        <v>#N/A</v>
      </c>
      <c r="V53" s="144" t="e">
        <f t="shared" ca="1" si="170"/>
        <v>#N/A</v>
      </c>
      <c r="W53" s="174" t="e">
        <f t="shared" ca="1" si="170"/>
        <v>#N/A</v>
      </c>
      <c r="X53" s="163"/>
      <c r="AC53" s="144" t="e">
        <f t="shared" ref="AC53" ca="1" si="171">IF($B53,ROUND(AC52*$N51,2),ROUND(SUMIF(OFFSET($B53,1,0,$D53),TRUE,OFFSET(AC53,1,0,$D53))/SUMIF(OFFSET($B53,1,0,$D53),TRUE,OFFSET($K53,1,0,$D53))*$N51,2))</f>
        <v>#N/A</v>
      </c>
    </row>
    <row r="54" spans="1:29" ht="12.75" customHeight="1" x14ac:dyDescent="0.2">
      <c r="A54"/>
      <c r="B54"/>
      <c r="C54" s="11">
        <v>-1</v>
      </c>
      <c r="D54" s="11"/>
      <c r="E54" s="11">
        <v>0</v>
      </c>
      <c r="F54" s="11">
        <v>0</v>
      </c>
      <c r="G54" s="11">
        <v>0</v>
      </c>
      <c r="H54" s="11">
        <v>0</v>
      </c>
      <c r="I54"/>
      <c r="J54"/>
      <c r="K54"/>
      <c r="L54" s="69"/>
      <c r="M54" s="69"/>
      <c r="N54" s="131"/>
      <c r="O54" s="69"/>
      <c r="P54" s="69"/>
      <c r="Q54" s="131"/>
      <c r="R54" s="69"/>
      <c r="S54" s="69"/>
      <c r="T54" s="69"/>
      <c r="U54" s="69"/>
      <c r="V54" s="69"/>
      <c r="W54" s="69"/>
      <c r="X54" s="157"/>
      <c r="AC54" s="69"/>
    </row>
    <row r="55" spans="1:29" ht="12" customHeight="1" x14ac:dyDescent="0.2">
      <c r="A55"/>
      <c r="B55"/>
      <c r="C55"/>
      <c r="D55"/>
      <c r="E55"/>
      <c r="F55"/>
      <c r="G55"/>
      <c r="H55"/>
      <c r="I55"/>
      <c r="J55"/>
      <c r="K55"/>
      <c r="L55" s="1"/>
      <c r="M55" s="1"/>
      <c r="N55" s="1"/>
      <c r="O55" s="1"/>
      <c r="P55" s="1"/>
      <c r="Q55" s="1"/>
      <c r="R55" s="1"/>
      <c r="S55" s="1"/>
      <c r="T55" s="1"/>
      <c r="U55" s="1"/>
      <c r="V55" s="1"/>
      <c r="W55" s="1"/>
      <c r="X55" s="157"/>
      <c r="AC55" s="1"/>
    </row>
    <row r="56" spans="1:29" x14ac:dyDescent="0.2">
      <c r="A56"/>
      <c r="B56"/>
      <c r="C56"/>
      <c r="D56"/>
      <c r="E56"/>
      <c r="F56"/>
      <c r="G56"/>
      <c r="H56"/>
      <c r="I56"/>
      <c r="J56"/>
      <c r="K56"/>
      <c r="L56" s="340">
        <f>DADOS!I32</f>
        <v>0</v>
      </c>
      <c r="M56" s="340"/>
      <c r="N56" s="340"/>
      <c r="O56" s="1"/>
      <c r="P56" s="158"/>
      <c r="Q56" s="337"/>
      <c r="R56" s="337"/>
      <c r="S56" s="337"/>
      <c r="T56" s="1"/>
      <c r="U56" s="1"/>
      <c r="V56" s="1"/>
      <c r="W56" s="1"/>
      <c r="X56" s="157"/>
      <c r="AC56" s="1"/>
    </row>
    <row r="57" spans="1:29" x14ac:dyDescent="0.2">
      <c r="A57"/>
      <c r="B57"/>
      <c r="C57"/>
      <c r="D57"/>
      <c r="E57"/>
      <c r="F57"/>
      <c r="G57"/>
      <c r="H57"/>
      <c r="I57"/>
      <c r="J57"/>
      <c r="K57"/>
      <c r="L57" s="159" t="s">
        <v>120</v>
      </c>
      <c r="M57" s="339"/>
      <c r="N57" s="339"/>
      <c r="O57" s="1"/>
      <c r="P57" s="158"/>
      <c r="Q57" s="337"/>
      <c r="R57" s="337"/>
      <c r="S57" s="337"/>
      <c r="T57" s="1"/>
      <c r="U57" s="1"/>
      <c r="V57" s="1"/>
      <c r="W57" s="1"/>
      <c r="X57" s="157"/>
      <c r="AC57" s="1"/>
    </row>
    <row r="58" spans="1:29" x14ac:dyDescent="0.2">
      <c r="A58"/>
      <c r="B58"/>
      <c r="C58"/>
      <c r="D58"/>
      <c r="E58"/>
      <c r="F58"/>
      <c r="G58"/>
      <c r="H58"/>
      <c r="I58"/>
      <c r="J58"/>
      <c r="K58"/>
      <c r="L58" s="158"/>
      <c r="M58" s="338"/>
      <c r="N58" s="339"/>
      <c r="O58" s="1"/>
      <c r="P58" s="158"/>
      <c r="Q58" s="337"/>
      <c r="R58" s="337"/>
      <c r="S58" s="337"/>
      <c r="T58" s="1"/>
      <c r="U58" s="1"/>
      <c r="V58" s="1"/>
      <c r="W58" s="1"/>
      <c r="X58" s="157"/>
      <c r="AC58" s="1"/>
    </row>
    <row r="59" spans="1:29" x14ac:dyDescent="0.2">
      <c r="A59"/>
      <c r="B59"/>
      <c r="C59"/>
      <c r="D59"/>
      <c r="E59"/>
      <c r="F59"/>
      <c r="G59"/>
      <c r="H59"/>
      <c r="I59"/>
      <c r="J59"/>
      <c r="K59"/>
      <c r="L59" s="341">
        <f ca="1">PO!K256</f>
        <v>45810</v>
      </c>
      <c r="M59" s="341"/>
      <c r="N59" s="341"/>
      <c r="O59" s="1"/>
      <c r="P59" s="1"/>
      <c r="Q59" s="1"/>
      <c r="R59" s="1"/>
      <c r="S59" s="1"/>
      <c r="T59" s="1"/>
      <c r="U59" s="1"/>
      <c r="V59" s="1"/>
      <c r="W59" s="1"/>
      <c r="X59" s="160"/>
      <c r="AC59" s="1"/>
    </row>
    <row r="60" spans="1:29" x14ac:dyDescent="0.2">
      <c r="A60"/>
      <c r="B60"/>
      <c r="C60"/>
      <c r="D60"/>
      <c r="E60"/>
      <c r="F60"/>
      <c r="G60"/>
      <c r="H60"/>
      <c r="I60"/>
      <c r="J60"/>
      <c r="K60"/>
      <c r="L60" s="161" t="s">
        <v>121</v>
      </c>
      <c r="M60" s="69"/>
      <c r="N60" s="69"/>
      <c r="O60" s="1"/>
      <c r="P60" s="1"/>
      <c r="Q60" s="1"/>
      <c r="R60" s="1"/>
      <c r="S60" s="1"/>
      <c r="T60" s="1"/>
      <c r="U60" s="1"/>
      <c r="V60" s="1"/>
      <c r="W60" s="1"/>
      <c r="X60" s="160"/>
      <c r="AC60" s="1"/>
    </row>
    <row r="61" spans="1:29" x14ac:dyDescent="0.2">
      <c r="A61"/>
      <c r="B61"/>
      <c r="C61"/>
      <c r="D61"/>
      <c r="E61"/>
      <c r="F61"/>
      <c r="G61"/>
      <c r="H61"/>
      <c r="I61"/>
      <c r="J61"/>
      <c r="K61"/>
      <c r="L61" s="1"/>
      <c r="M61" s="1"/>
      <c r="N61" s="1"/>
      <c r="O61" s="1"/>
      <c r="P61" s="1"/>
      <c r="Q61" s="1"/>
      <c r="R61" s="1"/>
      <c r="S61" s="1"/>
      <c r="T61" s="1"/>
      <c r="U61" s="1"/>
      <c r="V61" s="1"/>
      <c r="W61" s="1"/>
      <c r="X61" s="160"/>
      <c r="AC61" s="1"/>
    </row>
    <row r="62" spans="1:29" x14ac:dyDescent="0.2">
      <c r="A62"/>
      <c r="B62"/>
      <c r="C62"/>
      <c r="D62"/>
      <c r="E62"/>
      <c r="F62"/>
      <c r="G62"/>
      <c r="H62"/>
      <c r="I62"/>
      <c r="J62"/>
      <c r="K62"/>
      <c r="L62" s="1"/>
      <c r="M62" s="1"/>
      <c r="N62" s="4"/>
      <c r="O62" s="1"/>
      <c r="P62" s="1"/>
      <c r="Q62" s="1"/>
      <c r="R62" s="1"/>
      <c r="S62" s="1"/>
      <c r="T62" s="1"/>
      <c r="U62" s="1"/>
      <c r="V62" s="1"/>
      <c r="W62" s="1"/>
      <c r="X62" s="157"/>
      <c r="AC62" s="1"/>
    </row>
    <row r="63" spans="1:29" x14ac:dyDescent="0.2">
      <c r="A63"/>
      <c r="B63"/>
      <c r="C63"/>
      <c r="D63"/>
      <c r="E63"/>
      <c r="F63"/>
      <c r="G63"/>
      <c r="H63"/>
      <c r="I63"/>
      <c r="J63"/>
      <c r="K63"/>
      <c r="L63" s="1"/>
      <c r="M63" s="1"/>
      <c r="N63" s="4"/>
      <c r="O63" s="1"/>
      <c r="P63" s="1"/>
      <c r="Q63" s="1"/>
      <c r="R63" s="1"/>
      <c r="S63" s="1"/>
      <c r="T63" s="1"/>
      <c r="U63" s="1"/>
      <c r="V63" s="1"/>
      <c r="W63" s="1"/>
      <c r="X63" s="157"/>
      <c r="AC63" s="1"/>
    </row>
    <row r="64" spans="1:29" x14ac:dyDescent="0.2">
      <c r="A64"/>
      <c r="B64"/>
      <c r="C64"/>
      <c r="D64"/>
      <c r="E64"/>
      <c r="F64"/>
      <c r="G64"/>
      <c r="H64"/>
      <c r="I64"/>
      <c r="J64"/>
      <c r="K64"/>
      <c r="L64" s="1"/>
      <c r="M64" s="1"/>
      <c r="N64" s="4"/>
      <c r="O64" s="1"/>
      <c r="P64" s="1"/>
      <c r="Q64" s="1"/>
      <c r="R64" s="1"/>
      <c r="S64" s="1"/>
      <c r="T64" s="1"/>
      <c r="U64" s="1"/>
      <c r="V64" s="1"/>
      <c r="W64" s="1"/>
      <c r="X64" s="157"/>
      <c r="AC64" s="1"/>
    </row>
  </sheetData>
  <sheetProtection password="C95B" sheet="1" objects="1" scenarios="1"/>
  <mergeCells count="49">
    <mergeCell ref="L27:L29"/>
    <mergeCell ref="M27:M29"/>
    <mergeCell ref="N27:N29"/>
    <mergeCell ref="N45:N47"/>
    <mergeCell ref="L48:L50"/>
    <mergeCell ref="M48:M50"/>
    <mergeCell ref="N48:N50"/>
    <mergeCell ref="L8:M8"/>
    <mergeCell ref="N11:N13"/>
    <mergeCell ref="M18:M20"/>
    <mergeCell ref="N18:N20"/>
    <mergeCell ref="L42:L44"/>
    <mergeCell ref="M42:M44"/>
    <mergeCell ref="N42:N44"/>
    <mergeCell ref="M36:M38"/>
    <mergeCell ref="N36:N38"/>
    <mergeCell ref="L39:L41"/>
    <mergeCell ref="M39:M41"/>
    <mergeCell ref="N39:N41"/>
    <mergeCell ref="L45:L47"/>
    <mergeCell ref="M45:M47"/>
    <mergeCell ref="L51:L53"/>
    <mergeCell ref="M51:M53"/>
    <mergeCell ref="N51:N53"/>
    <mergeCell ref="L59:N59"/>
    <mergeCell ref="L11:L13"/>
    <mergeCell ref="M11:M13"/>
    <mergeCell ref="L14:M17"/>
    <mergeCell ref="N14:N17"/>
    <mergeCell ref="L18:L20"/>
    <mergeCell ref="L21:L23"/>
    <mergeCell ref="M21:M23"/>
    <mergeCell ref="N21:N23"/>
    <mergeCell ref="L30:L32"/>
    <mergeCell ref="M30:M32"/>
    <mergeCell ref="N30:N32"/>
    <mergeCell ref="L33:L35"/>
    <mergeCell ref="M33:M35"/>
    <mergeCell ref="N33:N35"/>
    <mergeCell ref="L36:L38"/>
    <mergeCell ref="L24:L26"/>
    <mergeCell ref="M24:M26"/>
    <mergeCell ref="N24:N26"/>
    <mergeCell ref="Q58:S58"/>
    <mergeCell ref="M58:N58"/>
    <mergeCell ref="Q57:S57"/>
    <mergeCell ref="Q56:S56"/>
    <mergeCell ref="L56:N56"/>
    <mergeCell ref="M57:N57"/>
  </mergeCells>
  <phoneticPr fontId="20" type="noConversion"/>
  <conditionalFormatting sqref="L11:N11 L12:M13 L18:N18">
    <cfRule type="expression" dxfId="180" priority="1649" stopIfTrue="1">
      <formula>$C13=1</formula>
    </cfRule>
  </conditionalFormatting>
  <conditionalFormatting sqref="O11 O18">
    <cfRule type="expression" dxfId="179" priority="1721" stopIfTrue="1">
      <formula>$B13=FALSE</formula>
    </cfRule>
    <cfRule type="expression" dxfId="178" priority="1722" stopIfTrue="1">
      <formula>$C13=1</formula>
    </cfRule>
  </conditionalFormatting>
  <conditionalFormatting sqref="P12:W12">
    <cfRule type="expression" dxfId="177" priority="1711" stopIfTrue="1">
      <formula>AND(ISNUMBER(O13),O13&gt;=$N11)</formula>
    </cfRule>
    <cfRule type="cellIs" dxfId="176" priority="1712" stopIfTrue="1" operator="notBetween">
      <formula>0</formula>
      <formula>1</formula>
    </cfRule>
  </conditionalFormatting>
  <conditionalFormatting sqref="P13:W13">
    <cfRule type="expression" dxfId="175" priority="1713" stopIfTrue="1">
      <formula>AND(ISNUMBER(O13),O13&gt;=$N11)</formula>
    </cfRule>
    <cfRule type="cellIs" dxfId="174" priority="1714" stopIfTrue="1" operator="notBetween">
      <formula>0</formula>
      <formula>$N11</formula>
    </cfRule>
  </conditionalFormatting>
  <conditionalFormatting sqref="P14:W14">
    <cfRule type="expression" dxfId="173" priority="1715" stopIfTrue="1">
      <formula>AND(ISNUMBER(O17),O17&gt;=$N14)</formula>
    </cfRule>
  </conditionalFormatting>
  <conditionalFormatting sqref="P15:W15">
    <cfRule type="expression" dxfId="172" priority="1716" stopIfTrue="1">
      <formula>AND(ISNUMBER(O17),O17&gt;=$N14)</formula>
    </cfRule>
  </conditionalFormatting>
  <conditionalFormatting sqref="P16:W16">
    <cfRule type="expression" dxfId="171" priority="1717" stopIfTrue="1">
      <formula>AND(ISNUMBER(O17),O17&gt;=$N14)</formula>
    </cfRule>
    <cfRule type="cellIs" dxfId="170" priority="1718" stopIfTrue="1" operator="notBetween">
      <formula>0</formula>
      <formula>1</formula>
    </cfRule>
  </conditionalFormatting>
  <conditionalFormatting sqref="P17:W17">
    <cfRule type="expression" dxfId="169" priority="1719" stopIfTrue="1">
      <formula>AND(ISNUMBER(O17),O17&gt;=$N14)</formula>
    </cfRule>
    <cfRule type="cellIs" dxfId="168" priority="1720" stopIfTrue="1" operator="notBetween">
      <formula>0</formula>
      <formula>$N14</formula>
    </cfRule>
  </conditionalFormatting>
  <conditionalFormatting sqref="L8">
    <cfRule type="cellIs" dxfId="167" priority="1706" stopIfTrue="1" operator="notEqual">
      <formula>""</formula>
    </cfRule>
  </conditionalFormatting>
  <conditionalFormatting sqref="N9">
    <cfRule type="expression" dxfId="166" priority="1705" stopIfTrue="1">
      <formula>TipoOrçamento&lt;&gt;"REPROGRAMADOAC"</formula>
    </cfRule>
  </conditionalFormatting>
  <conditionalFormatting sqref="L19:M20">
    <cfRule type="expression" dxfId="165" priority="2540" stopIfTrue="1">
      <formula>#REF!=1</formula>
    </cfRule>
  </conditionalFormatting>
  <conditionalFormatting sqref="P11:W11">
    <cfRule type="expression" dxfId="164" priority="860" stopIfTrue="1">
      <formula>AND(ISNUMBER(O13),O13&gt;=$N11)</formula>
    </cfRule>
    <cfRule type="expression" dxfId="163" priority="861" stopIfTrue="1">
      <formula>$B13=FALSE</formula>
    </cfRule>
    <cfRule type="expression" dxfId="162" priority="862" stopIfTrue="1">
      <formula>$C13=1</formula>
    </cfRule>
  </conditionalFormatting>
  <conditionalFormatting sqref="P19:W19">
    <cfRule type="expression" dxfId="161" priority="811" stopIfTrue="1">
      <formula>AND(ISNUMBER(O20),O20&gt;=$N18)</formula>
    </cfRule>
    <cfRule type="cellIs" dxfId="160" priority="812" stopIfTrue="1" operator="notBetween">
      <formula>0</formula>
      <formula>1</formula>
    </cfRule>
  </conditionalFormatting>
  <conditionalFormatting sqref="P20:W20">
    <cfRule type="expression" dxfId="159" priority="813" stopIfTrue="1">
      <formula>AND(ISNUMBER(O20),O20&gt;=$N18)</formula>
    </cfRule>
    <cfRule type="cellIs" dxfId="158" priority="814" stopIfTrue="1" operator="notBetween">
      <formula>0</formula>
      <formula>$N18</formula>
    </cfRule>
  </conditionalFormatting>
  <conditionalFormatting sqref="O10:W10">
    <cfRule type="expression" dxfId="157" priority="783" stopIfTrue="1">
      <formula>1=1</formula>
    </cfRule>
  </conditionalFormatting>
  <conditionalFormatting sqref="P18:W18">
    <cfRule type="expression" dxfId="156" priority="738" stopIfTrue="1">
      <formula>AND(ISNUMBER(O20),O20&gt;=$N18)</formula>
    </cfRule>
    <cfRule type="expression" dxfId="155" priority="739" stopIfTrue="1">
      <formula>$B20=FALSE</formula>
    </cfRule>
    <cfRule type="expression" dxfId="154" priority="740" stopIfTrue="1">
      <formula>$C20=1</formula>
    </cfRule>
  </conditionalFormatting>
  <conditionalFormatting sqref="AC18">
    <cfRule type="expression" dxfId="153" priority="658" stopIfTrue="1">
      <formula>AND(ISNUMBER(AB20),AB20&gt;=$N18)</formula>
    </cfRule>
    <cfRule type="expression" dxfId="152" priority="659" stopIfTrue="1">
      <formula>$B20=FALSE</formula>
    </cfRule>
    <cfRule type="expression" dxfId="151" priority="660" stopIfTrue="1">
      <formula>$C20=1</formula>
    </cfRule>
  </conditionalFormatting>
  <conditionalFormatting sqref="AC12">
    <cfRule type="expression" dxfId="150" priority="673" stopIfTrue="1">
      <formula>AND(ISNUMBER(AB13),AB13&gt;=$N11)</formula>
    </cfRule>
    <cfRule type="cellIs" dxfId="149" priority="674" stopIfTrue="1" operator="notBetween">
      <formula>0</formula>
      <formula>1</formula>
    </cfRule>
  </conditionalFormatting>
  <conditionalFormatting sqref="AC13">
    <cfRule type="expression" dxfId="148" priority="675" stopIfTrue="1">
      <formula>AND(ISNUMBER(AB13),AB13&gt;=$N11)</formula>
    </cfRule>
    <cfRule type="cellIs" dxfId="147" priority="676" stopIfTrue="1" operator="notBetween">
      <formula>0</formula>
      <formula>$N11</formula>
    </cfRule>
  </conditionalFormatting>
  <conditionalFormatting sqref="AC14">
    <cfRule type="expression" dxfId="146" priority="677" stopIfTrue="1">
      <formula>AND(ISNUMBER(AB17),AB17&gt;=$N14)</formula>
    </cfRule>
  </conditionalFormatting>
  <conditionalFormatting sqref="AC15">
    <cfRule type="expression" dxfId="145" priority="678" stopIfTrue="1">
      <formula>AND(ISNUMBER(AB17),AB17&gt;=$N14)</formula>
    </cfRule>
  </conditionalFormatting>
  <conditionalFormatting sqref="AC16">
    <cfRule type="expression" dxfId="144" priority="679" stopIfTrue="1">
      <formula>AND(ISNUMBER(AB17),AB17&gt;=$N14)</formula>
    </cfRule>
    <cfRule type="cellIs" dxfId="143" priority="680" stopIfTrue="1" operator="notBetween">
      <formula>0</formula>
      <formula>1</formula>
    </cfRule>
  </conditionalFormatting>
  <conditionalFormatting sqref="AC17">
    <cfRule type="expression" dxfId="142" priority="681" stopIfTrue="1">
      <formula>AND(ISNUMBER(AB17),AB17&gt;=$N14)</formula>
    </cfRule>
    <cfRule type="cellIs" dxfId="141" priority="682" stopIfTrue="1" operator="notBetween">
      <formula>0</formula>
      <formula>$N14</formula>
    </cfRule>
  </conditionalFormatting>
  <conditionalFormatting sqref="AC11">
    <cfRule type="expression" dxfId="140" priority="670" stopIfTrue="1">
      <formula>AND(ISNUMBER(AB13),AB13&gt;=$N11)</formula>
    </cfRule>
    <cfRule type="expression" dxfId="139" priority="671" stopIfTrue="1">
      <formula>$B13=FALSE</formula>
    </cfRule>
    <cfRule type="expression" dxfId="138" priority="672" stopIfTrue="1">
      <formula>$C13=1</formula>
    </cfRule>
  </conditionalFormatting>
  <conditionalFormatting sqref="AC19">
    <cfRule type="expression" dxfId="137" priority="666" stopIfTrue="1">
      <formula>AND(ISNUMBER(AB20),AB20&gt;=$N18)</formula>
    </cfRule>
    <cfRule type="cellIs" dxfId="136" priority="667" stopIfTrue="1" operator="notBetween">
      <formula>0</formula>
      <formula>1</formula>
    </cfRule>
  </conditionalFormatting>
  <conditionalFormatting sqref="AC20">
    <cfRule type="expression" dxfId="135" priority="668" stopIfTrue="1">
      <formula>AND(ISNUMBER(AB20),AB20&gt;=$N18)</formula>
    </cfRule>
    <cfRule type="cellIs" dxfId="134" priority="669" stopIfTrue="1" operator="notBetween">
      <formula>0</formula>
      <formula>$N18</formula>
    </cfRule>
  </conditionalFormatting>
  <conditionalFormatting sqref="AC10">
    <cfRule type="expression" dxfId="133" priority="661" stopIfTrue="1">
      <formula>1=1</formula>
    </cfRule>
  </conditionalFormatting>
  <conditionalFormatting sqref="L21:N21">
    <cfRule type="expression" dxfId="132" priority="557" stopIfTrue="1">
      <formula>$C23=1</formula>
    </cfRule>
  </conditionalFormatting>
  <conditionalFormatting sqref="O21">
    <cfRule type="expression" dxfId="131" priority="562" stopIfTrue="1">
      <formula>$B23=FALSE</formula>
    </cfRule>
    <cfRule type="expression" dxfId="130" priority="563" stopIfTrue="1">
      <formula>$C23=1</formula>
    </cfRule>
  </conditionalFormatting>
  <conditionalFormatting sqref="P22:W22">
    <cfRule type="expression" dxfId="129" priority="558" stopIfTrue="1">
      <formula>AND(ISNUMBER(O23),O23&gt;=$N21)</formula>
    </cfRule>
    <cfRule type="cellIs" dxfId="128" priority="559" stopIfTrue="1" operator="notBetween">
      <formula>0</formula>
      <formula>1</formula>
    </cfRule>
  </conditionalFormatting>
  <conditionalFormatting sqref="P23:W23">
    <cfRule type="expression" dxfId="127" priority="560" stopIfTrue="1">
      <formula>AND(ISNUMBER(O23),O23&gt;=$N21)</formula>
    </cfRule>
    <cfRule type="cellIs" dxfId="126" priority="561" stopIfTrue="1" operator="notBetween">
      <formula>0</formula>
      <formula>$N21</formula>
    </cfRule>
  </conditionalFormatting>
  <conditionalFormatting sqref="AC22">
    <cfRule type="expression" dxfId="125" priority="550" stopIfTrue="1">
      <formula>AND(ISNUMBER(AB23),AB23&gt;=$N21)</formula>
    </cfRule>
    <cfRule type="cellIs" dxfId="124" priority="551" stopIfTrue="1" operator="notBetween">
      <formula>0</formula>
      <formula>1</formula>
    </cfRule>
  </conditionalFormatting>
  <conditionalFormatting sqref="AC23">
    <cfRule type="expression" dxfId="123" priority="552" stopIfTrue="1">
      <formula>AND(ISNUMBER(AB23),AB23&gt;=$N21)</formula>
    </cfRule>
    <cfRule type="cellIs" dxfId="122" priority="553" stopIfTrue="1" operator="notBetween">
      <formula>0</formula>
      <formula>$N21</formula>
    </cfRule>
  </conditionalFormatting>
  <conditionalFormatting sqref="AC21">
    <cfRule type="expression" dxfId="121" priority="547" stopIfTrue="1">
      <formula>AND(ISNUMBER(AB23),AB23&gt;=$N21)</formula>
    </cfRule>
    <cfRule type="expression" dxfId="120" priority="548" stopIfTrue="1">
      <formula>$B23=FALSE</formula>
    </cfRule>
    <cfRule type="expression" dxfId="119" priority="549" stopIfTrue="1">
      <formula>$C23=1</formula>
    </cfRule>
  </conditionalFormatting>
  <conditionalFormatting sqref="L22:M23">
    <cfRule type="expression" dxfId="118" priority="4883" stopIfTrue="1">
      <formula>$C54=1</formula>
    </cfRule>
  </conditionalFormatting>
  <conditionalFormatting sqref="L24:N24 L27:N27 L30:N30 L33:N33 L36:N36 L39:N39 L25:M26 L28:M29 L31:M32 L34:M35 L37:M38">
    <cfRule type="expression" dxfId="117" priority="540" stopIfTrue="1">
      <formula>$C26=1</formula>
    </cfRule>
  </conditionalFormatting>
  <conditionalFormatting sqref="O24 O27 O30 O33 O36 O39">
    <cfRule type="expression" dxfId="116" priority="545" stopIfTrue="1">
      <formula>$B26=FALSE</formula>
    </cfRule>
    <cfRule type="expression" dxfId="115" priority="546" stopIfTrue="1">
      <formula>$C26=1</formula>
    </cfRule>
  </conditionalFormatting>
  <conditionalFormatting sqref="P25:W25 P28:W28 P31:W31 P34:W34 P37:W37 P40:W40">
    <cfRule type="expression" dxfId="114" priority="541" stopIfTrue="1">
      <formula>AND(ISNUMBER(O26),O26&gt;=$N24)</formula>
    </cfRule>
    <cfRule type="cellIs" dxfId="113" priority="542" stopIfTrue="1" operator="notBetween">
      <formula>0</formula>
      <formula>1</formula>
    </cfRule>
  </conditionalFormatting>
  <conditionalFormatting sqref="P26:W26 P29:W29 P32:W32 P35:W35 P38:W38 P41:W41">
    <cfRule type="expression" dxfId="112" priority="543" stopIfTrue="1">
      <formula>AND(ISNUMBER(O26),O26&gt;=$N24)</formula>
    </cfRule>
    <cfRule type="cellIs" dxfId="111" priority="544" stopIfTrue="1" operator="notBetween">
      <formula>0</formula>
      <formula>$N24</formula>
    </cfRule>
  </conditionalFormatting>
  <conditionalFormatting sqref="T24:W24">
    <cfRule type="expression" dxfId="110" priority="537" stopIfTrue="1">
      <formula>AND(ISNUMBER(S26),S26&gt;=$N24)</formula>
    </cfRule>
    <cfRule type="expression" dxfId="109" priority="538" stopIfTrue="1">
      <formula>$B26=FALSE</formula>
    </cfRule>
    <cfRule type="expression" dxfId="108" priority="539" stopIfTrue="1">
      <formula>$C26=1</formula>
    </cfRule>
  </conditionalFormatting>
  <conditionalFormatting sqref="AC25 AC28 AC31 AC34 AC37 AC40">
    <cfRule type="expression" dxfId="107" priority="533" stopIfTrue="1">
      <formula>AND(ISNUMBER(AB26),AB26&gt;=$N24)</formula>
    </cfRule>
    <cfRule type="cellIs" dxfId="106" priority="534" stopIfTrue="1" operator="notBetween">
      <formula>0</formula>
      <formula>1</formula>
    </cfRule>
  </conditionalFormatting>
  <conditionalFormatting sqref="AC26 AC29 AC32 AC35 AC38 AC41">
    <cfRule type="expression" dxfId="105" priority="535" stopIfTrue="1">
      <formula>AND(ISNUMBER(AB26),AB26&gt;=$N24)</formula>
    </cfRule>
    <cfRule type="cellIs" dxfId="104" priority="536" stopIfTrue="1" operator="notBetween">
      <formula>0</formula>
      <formula>$N24</formula>
    </cfRule>
  </conditionalFormatting>
  <conditionalFormatting sqref="AC24 AC27 AC30 AC33 AC36 AC39">
    <cfRule type="expression" dxfId="103" priority="530" stopIfTrue="1">
      <formula>AND(ISNUMBER(AB26),AB26&gt;=$N24)</formula>
    </cfRule>
    <cfRule type="expression" dxfId="102" priority="531" stopIfTrue="1">
      <formula>$B26=FALSE</formula>
    </cfRule>
    <cfRule type="expression" dxfId="101" priority="532" stopIfTrue="1">
      <formula>$C26=1</formula>
    </cfRule>
  </conditionalFormatting>
  <conditionalFormatting sqref="L40:M41">
    <cfRule type="expression" dxfId="100" priority="4884" stopIfTrue="1">
      <formula>$C54=1</formula>
    </cfRule>
  </conditionalFormatting>
  <conditionalFormatting sqref="L42:N42 L45:N45 L48:N48 L51:N51 L43:M44 L46:M47 L49:M50">
    <cfRule type="expression" dxfId="99" priority="489" stopIfTrue="1">
      <formula>$C44=1</formula>
    </cfRule>
  </conditionalFormatting>
  <conditionalFormatting sqref="O42 O45 O48 O51">
    <cfRule type="expression" dxfId="98" priority="494" stopIfTrue="1">
      <formula>$B44=FALSE</formula>
    </cfRule>
    <cfRule type="expression" dxfId="97" priority="495" stopIfTrue="1">
      <formula>$C44=1</formula>
    </cfRule>
  </conditionalFormatting>
  <conditionalFormatting sqref="P43:W43 P46:W46 P49:W49 P52:W52">
    <cfRule type="expression" dxfId="96" priority="490" stopIfTrue="1">
      <formula>AND(ISNUMBER(O44),O44&gt;=$N42)</formula>
    </cfRule>
    <cfRule type="cellIs" dxfId="95" priority="491" stopIfTrue="1" operator="notBetween">
      <formula>0</formula>
      <formula>1</formula>
    </cfRule>
  </conditionalFormatting>
  <conditionalFormatting sqref="P44:W44 P47:W47 P50:W50 P53:W53">
    <cfRule type="expression" dxfId="94" priority="492" stopIfTrue="1">
      <formula>AND(ISNUMBER(O44),O44&gt;=$N42)</formula>
    </cfRule>
    <cfRule type="cellIs" dxfId="93" priority="493" stopIfTrue="1" operator="notBetween">
      <formula>0</formula>
      <formula>$N42</formula>
    </cfRule>
  </conditionalFormatting>
  <conditionalFormatting sqref="AC43 AC46 AC49 AC52">
    <cfRule type="expression" dxfId="92" priority="482" stopIfTrue="1">
      <formula>AND(ISNUMBER(AB44),AB44&gt;=$N42)</formula>
    </cfRule>
    <cfRule type="cellIs" dxfId="91" priority="483" stopIfTrue="1" operator="notBetween">
      <formula>0</formula>
      <formula>1</formula>
    </cfRule>
  </conditionalFormatting>
  <conditionalFormatting sqref="AC44 AC47 AC50 AC53">
    <cfRule type="expression" dxfId="90" priority="484" stopIfTrue="1">
      <formula>AND(ISNUMBER(AB44),AB44&gt;=$N42)</formula>
    </cfRule>
    <cfRule type="cellIs" dxfId="89" priority="485" stopIfTrue="1" operator="notBetween">
      <formula>0</formula>
      <formula>$N42</formula>
    </cfRule>
  </conditionalFormatting>
  <conditionalFormatting sqref="AC42 AC45 AC48 AC51">
    <cfRule type="expression" dxfId="88" priority="479" stopIfTrue="1">
      <formula>AND(ISNUMBER(AB44),AB44&gt;=$N42)</formula>
    </cfRule>
    <cfRule type="expression" dxfId="87" priority="480" stopIfTrue="1">
      <formula>$B44=FALSE</formula>
    </cfRule>
    <cfRule type="expression" dxfId="86" priority="481" stopIfTrue="1">
      <formula>$C44=1</formula>
    </cfRule>
  </conditionalFormatting>
  <conditionalFormatting sqref="L52:M53">
    <cfRule type="expression" dxfId="85" priority="5975" stopIfTrue="1">
      <formula>#REF!=1</formula>
    </cfRule>
  </conditionalFormatting>
  <conditionalFormatting sqref="P24:S24">
    <cfRule type="expression" dxfId="84" priority="275" stopIfTrue="1">
      <formula>AND(ISNUMBER(O26),O26&gt;=$N24)</formula>
    </cfRule>
    <cfRule type="expression" dxfId="83" priority="276" stopIfTrue="1">
      <formula>$B26=FALSE</formula>
    </cfRule>
    <cfRule type="expression" dxfId="82" priority="277" stopIfTrue="1">
      <formula>$C26=1</formula>
    </cfRule>
  </conditionalFormatting>
  <conditionalFormatting sqref="T27:W27">
    <cfRule type="expression" dxfId="81" priority="226" stopIfTrue="1">
      <formula>AND(ISNUMBER(S29),S29&gt;=$N27)</formula>
    </cfRule>
    <cfRule type="expression" dxfId="80" priority="227" stopIfTrue="1">
      <formula>$B29=FALSE</formula>
    </cfRule>
    <cfRule type="expression" dxfId="79" priority="228" stopIfTrue="1">
      <formula>$C29=1</formula>
    </cfRule>
  </conditionalFormatting>
  <conditionalFormatting sqref="P27:S27">
    <cfRule type="expression" dxfId="78" priority="223" stopIfTrue="1">
      <formula>AND(ISNUMBER(O29),O29&gt;=$N27)</formula>
    </cfRule>
    <cfRule type="expression" dxfId="77" priority="224" stopIfTrue="1">
      <formula>$B29=FALSE</formula>
    </cfRule>
    <cfRule type="expression" dxfId="76" priority="225" stopIfTrue="1">
      <formula>$C29=1</formula>
    </cfRule>
  </conditionalFormatting>
  <conditionalFormatting sqref="T30:W30">
    <cfRule type="expression" dxfId="75" priority="220" stopIfTrue="1">
      <formula>AND(ISNUMBER(S32),S32&gt;=$N30)</formula>
    </cfRule>
    <cfRule type="expression" dxfId="74" priority="221" stopIfTrue="1">
      <formula>$B32=FALSE</formula>
    </cfRule>
    <cfRule type="expression" dxfId="73" priority="222" stopIfTrue="1">
      <formula>$C32=1</formula>
    </cfRule>
  </conditionalFormatting>
  <conditionalFormatting sqref="P30:S30">
    <cfRule type="expression" dxfId="72" priority="217" stopIfTrue="1">
      <formula>AND(ISNUMBER(O32),O32&gt;=$N30)</formula>
    </cfRule>
    <cfRule type="expression" dxfId="71" priority="218" stopIfTrue="1">
      <formula>$B32=FALSE</formula>
    </cfRule>
    <cfRule type="expression" dxfId="70" priority="219" stopIfTrue="1">
      <formula>$C32=1</formula>
    </cfRule>
  </conditionalFormatting>
  <conditionalFormatting sqref="T36:W36">
    <cfRule type="expression" dxfId="69" priority="214" stopIfTrue="1">
      <formula>AND(ISNUMBER(S38),S38&gt;=$N36)</formula>
    </cfRule>
    <cfRule type="expression" dxfId="68" priority="215" stopIfTrue="1">
      <formula>$B38=FALSE</formula>
    </cfRule>
    <cfRule type="expression" dxfId="67" priority="216" stopIfTrue="1">
      <formula>$C38=1</formula>
    </cfRule>
  </conditionalFormatting>
  <conditionalFormatting sqref="Q36:S36">
    <cfRule type="expression" dxfId="66" priority="211" stopIfTrue="1">
      <formula>AND(ISNUMBER(P38),P38&gt;=$N36)</formula>
    </cfRule>
    <cfRule type="expression" dxfId="65" priority="212" stopIfTrue="1">
      <formula>$B38=FALSE</formula>
    </cfRule>
    <cfRule type="expression" dxfId="64" priority="213" stopIfTrue="1">
      <formula>$C38=1</formula>
    </cfRule>
  </conditionalFormatting>
  <conditionalFormatting sqref="T39:W39">
    <cfRule type="expression" dxfId="63" priority="208" stopIfTrue="1">
      <formula>AND(ISNUMBER(S41),S41&gt;=$N39)</formula>
    </cfRule>
    <cfRule type="expression" dxfId="62" priority="209" stopIfTrue="1">
      <formula>$B41=FALSE</formula>
    </cfRule>
    <cfRule type="expression" dxfId="61" priority="210" stopIfTrue="1">
      <formula>$C41=1</formula>
    </cfRule>
  </conditionalFormatting>
  <conditionalFormatting sqref="Q39:S39">
    <cfRule type="expression" dxfId="60" priority="205" stopIfTrue="1">
      <formula>AND(ISNUMBER(P41),P41&gt;=$N39)</formula>
    </cfRule>
    <cfRule type="expression" dxfId="59" priority="206" stopIfTrue="1">
      <formula>$B41=FALSE</formula>
    </cfRule>
    <cfRule type="expression" dxfId="58" priority="207" stopIfTrue="1">
      <formula>$C41=1</formula>
    </cfRule>
  </conditionalFormatting>
  <conditionalFormatting sqref="T42:W42">
    <cfRule type="expression" dxfId="57" priority="202" stopIfTrue="1">
      <formula>AND(ISNUMBER(S44),S44&gt;=$N42)</formula>
    </cfRule>
    <cfRule type="expression" dxfId="56" priority="203" stopIfTrue="1">
      <formula>$B44=FALSE</formula>
    </cfRule>
    <cfRule type="expression" dxfId="55" priority="204" stopIfTrue="1">
      <formula>$C44=1</formula>
    </cfRule>
  </conditionalFormatting>
  <conditionalFormatting sqref="Q42:S42">
    <cfRule type="expression" dxfId="54" priority="199" stopIfTrue="1">
      <formula>AND(ISNUMBER(P44),P44&gt;=$N42)</formula>
    </cfRule>
    <cfRule type="expression" dxfId="53" priority="200" stopIfTrue="1">
      <formula>$B44=FALSE</formula>
    </cfRule>
    <cfRule type="expression" dxfId="52" priority="201" stopIfTrue="1">
      <formula>$C44=1</formula>
    </cfRule>
  </conditionalFormatting>
  <conditionalFormatting sqref="T48:W48">
    <cfRule type="expression" dxfId="51" priority="196" stopIfTrue="1">
      <formula>AND(ISNUMBER(S50),S50&gt;=$N48)</formula>
    </cfRule>
    <cfRule type="expression" dxfId="50" priority="197" stopIfTrue="1">
      <formula>$B50=FALSE</formula>
    </cfRule>
    <cfRule type="expression" dxfId="49" priority="198" stopIfTrue="1">
      <formula>$C50=1</formula>
    </cfRule>
  </conditionalFormatting>
  <conditionalFormatting sqref="Q48:S48">
    <cfRule type="expression" dxfId="48" priority="193" stopIfTrue="1">
      <formula>AND(ISNUMBER(P50),P50&gt;=$N48)</formula>
    </cfRule>
    <cfRule type="expression" dxfId="47" priority="194" stopIfTrue="1">
      <formula>$B50=FALSE</formula>
    </cfRule>
    <cfRule type="expression" dxfId="46" priority="195" stopIfTrue="1">
      <formula>$C50=1</formula>
    </cfRule>
  </conditionalFormatting>
  <conditionalFormatting sqref="T51:W51">
    <cfRule type="expression" dxfId="45" priority="190" stopIfTrue="1">
      <formula>AND(ISNUMBER(S53),S53&gt;=$N51)</formula>
    </cfRule>
    <cfRule type="expression" dxfId="44" priority="191" stopIfTrue="1">
      <formula>$B53=FALSE</formula>
    </cfRule>
    <cfRule type="expression" dxfId="43" priority="192" stopIfTrue="1">
      <formula>$C53=1</formula>
    </cfRule>
  </conditionalFormatting>
  <conditionalFormatting sqref="Q51:S51">
    <cfRule type="expression" dxfId="42" priority="187" stopIfTrue="1">
      <formula>AND(ISNUMBER(P53),P53&gt;=$N51)</formula>
    </cfRule>
    <cfRule type="expression" dxfId="41" priority="188" stopIfTrue="1">
      <formula>$B53=FALSE</formula>
    </cfRule>
    <cfRule type="expression" dxfId="40" priority="189" stopIfTrue="1">
      <formula>$C53=1</formula>
    </cfRule>
  </conditionalFormatting>
  <conditionalFormatting sqref="P36">
    <cfRule type="expression" dxfId="39" priority="76" stopIfTrue="1">
      <formula>AND(ISNUMBER(O38),O38&gt;=$N36)</formula>
    </cfRule>
    <cfRule type="expression" dxfId="38" priority="77" stopIfTrue="1">
      <formula>$B38=FALSE</formula>
    </cfRule>
    <cfRule type="expression" dxfId="37" priority="78" stopIfTrue="1">
      <formula>$C38=1</formula>
    </cfRule>
  </conditionalFormatting>
  <conditionalFormatting sqref="P39">
    <cfRule type="expression" dxfId="36" priority="73" stopIfTrue="1">
      <formula>AND(ISNUMBER(O41),O41&gt;=$N39)</formula>
    </cfRule>
    <cfRule type="expression" dxfId="35" priority="74" stopIfTrue="1">
      <formula>$B41=FALSE</formula>
    </cfRule>
    <cfRule type="expression" dxfId="34" priority="75" stopIfTrue="1">
      <formula>$C41=1</formula>
    </cfRule>
  </conditionalFormatting>
  <conditionalFormatting sqref="P42">
    <cfRule type="expression" dxfId="33" priority="70" stopIfTrue="1">
      <formula>AND(ISNUMBER(O44),O44&gt;=$N42)</formula>
    </cfRule>
    <cfRule type="expression" dxfId="32" priority="71" stopIfTrue="1">
      <formula>$B44=FALSE</formula>
    </cfRule>
    <cfRule type="expression" dxfId="31" priority="72" stopIfTrue="1">
      <formula>$C44=1</formula>
    </cfRule>
  </conditionalFormatting>
  <conditionalFormatting sqref="P48">
    <cfRule type="expression" dxfId="30" priority="67" stopIfTrue="1">
      <formula>AND(ISNUMBER(O50),O50&gt;=$N48)</formula>
    </cfRule>
    <cfRule type="expression" dxfId="29" priority="68" stopIfTrue="1">
      <formula>$B50=FALSE</formula>
    </cfRule>
    <cfRule type="expression" dxfId="28" priority="69" stopIfTrue="1">
      <formula>$C50=1</formula>
    </cfRule>
  </conditionalFormatting>
  <conditionalFormatting sqref="P51">
    <cfRule type="expression" dxfId="27" priority="64" stopIfTrue="1">
      <formula>AND(ISNUMBER(O53),O53&gt;=$N51)</formula>
    </cfRule>
    <cfRule type="expression" dxfId="26" priority="65" stopIfTrue="1">
      <formula>$B53=FALSE</formula>
    </cfRule>
    <cfRule type="expression" dxfId="25" priority="66" stopIfTrue="1">
      <formula>$C53=1</formula>
    </cfRule>
  </conditionalFormatting>
  <conditionalFormatting sqref="P21:W21">
    <cfRule type="expression" dxfId="24" priority="7" stopIfTrue="1">
      <formula>AND(ISNUMBER(O23),O23&gt;=$N21)</formula>
    </cfRule>
    <cfRule type="expression" dxfId="23" priority="8" stopIfTrue="1">
      <formula>$B23=FALSE</formula>
    </cfRule>
    <cfRule type="expression" dxfId="22" priority="9" stopIfTrue="1">
      <formula>$C23=1</formula>
    </cfRule>
  </conditionalFormatting>
  <conditionalFormatting sqref="P33:W33">
    <cfRule type="expression" dxfId="21" priority="4" stopIfTrue="1">
      <formula>AND(ISNUMBER(O35),O35&gt;=$N33)</formula>
    </cfRule>
    <cfRule type="expression" dxfId="20" priority="5" stopIfTrue="1">
      <formula>$B35=FALSE</formula>
    </cfRule>
    <cfRule type="expression" dxfId="19" priority="6" stopIfTrue="1">
      <formula>$C35=1</formula>
    </cfRule>
  </conditionalFormatting>
  <conditionalFormatting sqref="P45:W45">
    <cfRule type="expression" dxfId="18" priority="1" stopIfTrue="1">
      <formula>AND(ISNUMBER(O47),O47&gt;=$N45)</formula>
    </cfRule>
    <cfRule type="expression" dxfId="17" priority="2" stopIfTrue="1">
      <formula>$B47=FALSE</formula>
    </cfRule>
    <cfRule type="expression" dxfId="16" priority="3" stopIfTrue="1">
      <formula>$C47=1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P51:W51 AC42 AC45 AC48 AC51">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2025-06-02T19:09:09Z</cp:lastPrinted>
  <dcterms:created xsi:type="dcterms:W3CDTF">1998-03-27T18:43:07Z</dcterms:created>
  <dcterms:modified xsi:type="dcterms:W3CDTF">2025-06-02T19:09:12Z</dcterms:modified>
</cp:coreProperties>
</file>