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5 VALE AURORA TRECHO 5\LICITA 2025\"/>
    </mc:Choice>
  </mc:AlternateContent>
  <bookViews>
    <workbookView xWindow="0" yWindow="0" windowWidth="28800" windowHeight="12336"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PLQ!$B$1:$O$77</definedName>
    <definedName name="_xlnm.Print_Area" localSheetId="3">PO!$K$1:$T$86</definedName>
    <definedName name="_xlnm.Database">TEXT(Import.DataBase,"mm-aaaa")</definedName>
    <definedName name="CFF.ColunaPadrão">CFF!$AC:$AC</definedName>
    <definedName name="CFF.Colunas">CFF!$P$10:$X$10</definedName>
    <definedName name="CFF.Dados">OFFSET(CFF!$L$17,1,0):OFFSET(CFF!$X$36,-1,-1)</definedName>
    <definedName name="CFF.IncluirLinha">MAX(PO!$V$12:$V$71)*CFF.NumLinha-ROW(CFF!$F$36)+ROW(CFF!$F$17)+1</definedName>
    <definedName name="CFF.Item">OFFSET(CFF!$L$17,1,0):OFFSET(CFF!$X$36,-1,-1)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OFFSET(PO!$M$12,1,0):OFFSET(PO!$M$71,-1,0)</definedName>
    <definedName name="Import.CR">DADOS!$A$29</definedName>
    <definedName name="Import.CTEF">DADOS!$A$43</definedName>
    <definedName name="Import.CustoUnitário">OFFSET(PO!$Q$12,1,0):OFFSET(PO!$Q$71,-1,0)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OFFSET(PO!$N$12,1,0):OFFSET(PO!$N$71,-1,0)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OFFSET(PO!$L$12,1,0):OFFSET(PO!$L$71,-1,0)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OFFSET(PO!$K$12,1,0):OFFSET(PO!$K$71,-1,0)</definedName>
    <definedName name="Import.Localidade">DADOS!$K$32</definedName>
    <definedName name="Import.LocalSINAPI">DADOS!$D$38</definedName>
    <definedName name="Import.Município">DADOS!$G$32</definedName>
    <definedName name="Import.Nível">OFFSET(PO!$J$12,1,0):OFFSET(PO!$J$71,-1,0)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OFFSET(PLQ!$F$12,1,0):OFFSET(PLQ!$P$71,-1,-1)</definedName>
    <definedName name="Import.POArred">PO!$X$3:$X$7</definedName>
    <definedName name="Import.PreçoTotal">OFFSET(PO!$T$12,1,0):OFFSET(PO!$T$71,-1,0)</definedName>
    <definedName name="Import.PreçoUnitário">OFFSET(PO!$S$12,1,0):OFFSET(PO!$S$71,-1,0)</definedName>
    <definedName name="Import.Programa">DADOS!$F$29</definedName>
    <definedName name="Import.Proponente">DADOS!$A$32</definedName>
    <definedName name="Import.Quantidade">OFFSET(PO!$P$12,1,0):OFFSET(PO!$P$71,-1,0)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OFFSET(PO!$O$12,1,0):OFFSET(PO!$O$71,-1,0)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OFFSET(PO!$Z$12,1,0):OFFSET(PO!$Z$71,-1,0)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PO!$K$72</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PLQ!$B$9:OFFSET(PLQ!$B$71,-1,0)</definedName>
    <definedName name="PLQ.LinhaPadrão">PLQ!$A$11:$P$11</definedName>
    <definedName name="PLQ.qtde.frentes">COUNTA(PLQ!$F$9:$P$9)</definedName>
    <definedName name="PO.BDI">OFFSET(PO!$R$12,1,0):OFFSET(PO!$R$71,-1,0)</definedName>
    <definedName name="PO.CustoRef">OFFSET(PO!$Y$12,1,0):OFFSET(PO!$Y$71,-1,0)</definedName>
    <definedName name="PO.CustoUnitario">ROUND(PO!$Q1,15-13*PO!$X$4)</definedName>
    <definedName name="PO.Dados">PO!$C$12:OFFSET(PO!$Z$71,-1,0)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P37" i="12" l="1"/>
  <c r="F69" i="13"/>
  <c r="A69" i="13"/>
  <c r="W69" i="12"/>
  <c r="A69" i="12"/>
  <c r="H69" i="12" s="1"/>
  <c r="V69" i="12" l="1"/>
  <c r="I69" i="12"/>
  <c r="E69" i="13"/>
  <c r="B69" i="12"/>
  <c r="A23" i="13"/>
  <c r="W23" i="12"/>
  <c r="A23" i="12"/>
  <c r="V23" i="12" s="1"/>
  <c r="A21" i="13"/>
  <c r="W21" i="12"/>
  <c r="A21" i="12"/>
  <c r="A20" i="13"/>
  <c r="W20" i="12"/>
  <c r="A20" i="12"/>
  <c r="B20" i="12" s="1"/>
  <c r="H23" i="12" l="1"/>
  <c r="D23" i="13"/>
  <c r="I23" i="12"/>
  <c r="B23" i="12"/>
  <c r="D21" i="13"/>
  <c r="H21" i="12"/>
  <c r="V21" i="12"/>
  <c r="I21" i="12"/>
  <c r="B21" i="12"/>
  <c r="H20" i="12"/>
  <c r="V20" i="12"/>
  <c r="I20" i="12"/>
  <c r="C23" i="13" l="1"/>
  <c r="C21" i="13"/>
  <c r="C20" i="13"/>
  <c r="A22" i="13"/>
  <c r="W22" i="12"/>
  <c r="A22" i="12"/>
  <c r="H22" i="12" s="1"/>
  <c r="A24" i="13"/>
  <c r="W24" i="12"/>
  <c r="A24" i="12"/>
  <c r="H24" i="12" s="1"/>
  <c r="A27" i="13"/>
  <c r="A26" i="13"/>
  <c r="A25" i="13"/>
  <c r="W27" i="12"/>
  <c r="A27" i="12"/>
  <c r="V27" i="12" s="1"/>
  <c r="W26" i="12"/>
  <c r="A26" i="12"/>
  <c r="V26" i="12" s="1"/>
  <c r="W25" i="12"/>
  <c r="A25" i="12"/>
  <c r="H25" i="12" s="1"/>
  <c r="V25" i="12" l="1"/>
  <c r="H26" i="12"/>
  <c r="V22" i="12"/>
  <c r="I22" i="12"/>
  <c r="B22" i="12"/>
  <c r="H27" i="12"/>
  <c r="V24" i="12"/>
  <c r="C25" i="13"/>
  <c r="C27" i="13"/>
  <c r="I24" i="12"/>
  <c r="B24" i="12"/>
  <c r="I25" i="12"/>
  <c r="I26" i="12"/>
  <c r="I27" i="12"/>
  <c r="B25" i="12"/>
  <c r="B26" i="12"/>
  <c r="B27" i="12"/>
  <c r="F40" i="13"/>
  <c r="A40" i="13"/>
  <c r="W40" i="12"/>
  <c r="A40" i="12"/>
  <c r="P38" i="12"/>
  <c r="F38" i="13" s="1"/>
  <c r="A38" i="13"/>
  <c r="W38" i="12"/>
  <c r="A38" i="12"/>
  <c r="H38" i="12" s="1"/>
  <c r="A37" i="13"/>
  <c r="W37" i="12"/>
  <c r="A37" i="12"/>
  <c r="H37" i="12" s="1"/>
  <c r="P45" i="12"/>
  <c r="F45" i="13" s="1"/>
  <c r="A45" i="13"/>
  <c r="W45" i="12"/>
  <c r="A45" i="12"/>
  <c r="B45" i="12" s="1"/>
  <c r="D69" i="13" l="1"/>
  <c r="C69" i="13"/>
  <c r="P20" i="12"/>
  <c r="P21" i="12"/>
  <c r="D20" i="13"/>
  <c r="F37" i="13"/>
  <c r="E37" i="13" s="1"/>
  <c r="D27" i="13"/>
  <c r="D26" i="13"/>
  <c r="D25" i="13"/>
  <c r="D24" i="13"/>
  <c r="P22" i="12"/>
  <c r="P23" i="12" s="1"/>
  <c r="F23" i="13" s="1"/>
  <c r="E23" i="13" s="1"/>
  <c r="D22" i="13"/>
  <c r="C22" i="13"/>
  <c r="F63" i="13"/>
  <c r="C26" i="13"/>
  <c r="C24" i="13"/>
  <c r="V37" i="12"/>
  <c r="H40" i="12"/>
  <c r="V40" i="12"/>
  <c r="I40" i="12"/>
  <c r="E40" i="13"/>
  <c r="B40" i="12"/>
  <c r="V38" i="12"/>
  <c r="I38" i="12"/>
  <c r="E38" i="13"/>
  <c r="B38" i="12"/>
  <c r="I37" i="12"/>
  <c r="B37" i="12"/>
  <c r="H45" i="12"/>
  <c r="V45" i="12"/>
  <c r="I45" i="12"/>
  <c r="E45" i="13"/>
  <c r="F65" i="13"/>
  <c r="A65" i="13"/>
  <c r="W65" i="12"/>
  <c r="A65" i="12"/>
  <c r="F64" i="13"/>
  <c r="A64" i="13"/>
  <c r="W64" i="12"/>
  <c r="A64" i="12"/>
  <c r="H64" i="12" s="1"/>
  <c r="A63" i="13"/>
  <c r="W63" i="12"/>
  <c r="A63" i="12"/>
  <c r="H63" i="12" s="1"/>
  <c r="F21" i="13" l="1"/>
  <c r="E21" i="13" s="1"/>
  <c r="P26" i="12"/>
  <c r="F26" i="13" s="1"/>
  <c r="E26" i="13" s="1"/>
  <c r="F20" i="13"/>
  <c r="E20" i="13" s="1"/>
  <c r="P25" i="12"/>
  <c r="F25" i="13" s="1"/>
  <c r="E25" i="13" s="1"/>
  <c r="P24" i="12"/>
  <c r="F24" i="13" s="1"/>
  <c r="E24" i="13" s="1"/>
  <c r="F22" i="13"/>
  <c r="E22" i="13" s="1"/>
  <c r="P27" i="12"/>
  <c r="F27" i="13" s="1"/>
  <c r="E27" i="13" s="1"/>
  <c r="D45" i="13"/>
  <c r="C45" i="13"/>
  <c r="E65" i="13"/>
  <c r="B65" i="12"/>
  <c r="H65" i="12"/>
  <c r="V65" i="12"/>
  <c r="I65" i="12"/>
  <c r="D64" i="13"/>
  <c r="V64" i="12"/>
  <c r="E64" i="13"/>
  <c r="I64" i="12"/>
  <c r="B64" i="12"/>
  <c r="V63" i="12"/>
  <c r="E63" i="13"/>
  <c r="I63" i="12"/>
  <c r="B63" i="12"/>
  <c r="A52" i="13"/>
  <c r="W52" i="12"/>
  <c r="A52" i="12"/>
  <c r="V52" i="12" s="1"/>
  <c r="C40" i="13" l="1"/>
  <c r="D40" i="13"/>
  <c r="C38" i="13"/>
  <c r="D38" i="13"/>
  <c r="C37" i="13"/>
  <c r="D37" i="13"/>
  <c r="C64" i="13"/>
  <c r="C63" i="13"/>
  <c r="B52" i="12"/>
  <c r="H52" i="12"/>
  <c r="I52" i="12"/>
  <c r="P30" i="12"/>
  <c r="P29" i="12"/>
  <c r="F44" i="13" l="1"/>
  <c r="A44" i="13"/>
  <c r="W44" i="12"/>
  <c r="A44" i="12"/>
  <c r="H44" i="12" s="1"/>
  <c r="F43" i="13"/>
  <c r="A43" i="13"/>
  <c r="W43" i="12"/>
  <c r="A43" i="12"/>
  <c r="H43" i="12" s="1"/>
  <c r="F42" i="13"/>
  <c r="A42" i="13"/>
  <c r="W42" i="12"/>
  <c r="A42" i="12"/>
  <c r="F35" i="13"/>
  <c r="A35" i="13"/>
  <c r="W35" i="12"/>
  <c r="A35" i="12"/>
  <c r="H35" i="12" s="1"/>
  <c r="F41" i="13"/>
  <c r="A41" i="13"/>
  <c r="W41" i="12"/>
  <c r="A41" i="12"/>
  <c r="V41" i="12" s="1"/>
  <c r="H41" i="12" l="1"/>
  <c r="D44" i="13"/>
  <c r="V44" i="12"/>
  <c r="I44" i="12"/>
  <c r="E44" i="13"/>
  <c r="B44" i="12"/>
  <c r="V43" i="12"/>
  <c r="I43" i="12"/>
  <c r="E43" i="13"/>
  <c r="B43" i="12"/>
  <c r="D42" i="13"/>
  <c r="H42" i="12"/>
  <c r="V42" i="12"/>
  <c r="I42" i="12"/>
  <c r="E42" i="13"/>
  <c r="B42" i="12"/>
  <c r="D35" i="13"/>
  <c r="V35" i="12"/>
  <c r="I35" i="12"/>
  <c r="E35" i="13"/>
  <c r="B35" i="12"/>
  <c r="I41" i="12"/>
  <c r="E41" i="13"/>
  <c r="B41" i="12"/>
  <c r="F36" i="13"/>
  <c r="A36" i="13"/>
  <c r="W36" i="12"/>
  <c r="A36" i="12"/>
  <c r="F39" i="13"/>
  <c r="A39" i="13"/>
  <c r="W39" i="12"/>
  <c r="A39" i="12"/>
  <c r="V39" i="12" s="1"/>
  <c r="F31" i="13"/>
  <c r="A31" i="13"/>
  <c r="W31" i="12"/>
  <c r="A31" i="12"/>
  <c r="F34" i="13"/>
  <c r="A34" i="13"/>
  <c r="W34" i="12"/>
  <c r="A34" i="12"/>
  <c r="F33" i="13"/>
  <c r="A33" i="13"/>
  <c r="W33" i="12"/>
  <c r="A33" i="12"/>
  <c r="H33" i="12" s="1"/>
  <c r="P46" i="12"/>
  <c r="H39" i="12" l="1"/>
  <c r="D43" i="13"/>
  <c r="C44" i="13"/>
  <c r="C43" i="13"/>
  <c r="D41" i="13"/>
  <c r="C42" i="13"/>
  <c r="C35" i="13"/>
  <c r="C41" i="13"/>
  <c r="V33" i="12"/>
  <c r="H36" i="12"/>
  <c r="V36" i="12"/>
  <c r="I36" i="12"/>
  <c r="E36" i="13"/>
  <c r="B36" i="12"/>
  <c r="I39" i="12"/>
  <c r="E39" i="13"/>
  <c r="B39" i="12"/>
  <c r="H31" i="12"/>
  <c r="V31" i="12"/>
  <c r="I31" i="12"/>
  <c r="E31" i="13"/>
  <c r="B31" i="12"/>
  <c r="H34" i="12"/>
  <c r="V34" i="12"/>
  <c r="I34" i="12"/>
  <c r="E34" i="13"/>
  <c r="B34" i="12"/>
  <c r="I33" i="12"/>
  <c r="E33" i="13"/>
  <c r="B33" i="12"/>
  <c r="F46" i="13"/>
  <c r="A46" i="13"/>
  <c r="W46" i="12"/>
  <c r="A46" i="12"/>
  <c r="D36" i="13" l="1"/>
  <c r="C36" i="13"/>
  <c r="D39" i="13"/>
  <c r="C39" i="13"/>
  <c r="D31" i="13"/>
  <c r="C31" i="13"/>
  <c r="D34" i="13"/>
  <c r="C34" i="13"/>
  <c r="D33" i="13"/>
  <c r="C33" i="13"/>
  <c r="H46" i="12"/>
  <c r="V46" i="12"/>
  <c r="I46" i="12"/>
  <c r="E46" i="13"/>
  <c r="B46" i="12"/>
  <c r="P48" i="12"/>
  <c r="P16" i="12" l="1"/>
  <c r="C46" i="13" l="1"/>
  <c r="P57" i="12"/>
  <c r="P58" i="12" s="1"/>
  <c r="P53" i="12"/>
  <c r="P55" i="12"/>
  <c r="P59" i="12" s="1"/>
  <c r="P56" i="12"/>
  <c r="P54" i="12"/>
  <c r="J50" i="18"/>
  <c r="J49" i="18"/>
  <c r="J48" i="18"/>
  <c r="J47" i="18"/>
  <c r="A45" i="18"/>
  <c r="A46" i="18" s="1"/>
  <c r="C44" i="18"/>
  <c r="A39" i="18"/>
  <c r="A40" i="18" s="1"/>
  <c r="C38" i="18"/>
  <c r="I35" i="18"/>
  <c r="M32" i="18"/>
  <c r="I29" i="18"/>
  <c r="A28" i="18"/>
  <c r="C28" i="18" s="1"/>
  <c r="C27" i="18"/>
  <c r="N24" i="18"/>
  <c r="M22" i="18"/>
  <c r="I22" i="18"/>
  <c r="A22" i="18"/>
  <c r="A23" i="18" s="1"/>
  <c r="M21" i="18"/>
  <c r="I21" i="18"/>
  <c r="C21" i="18"/>
  <c r="M20" i="18"/>
  <c r="I20" i="18"/>
  <c r="M19" i="18"/>
  <c r="I19" i="18"/>
  <c r="M18" i="18"/>
  <c r="I18" i="18"/>
  <c r="A15" i="18"/>
  <c r="C15" i="18" s="1"/>
  <c r="C14" i="18"/>
  <c r="C13" i="18"/>
  <c r="C12" i="18"/>
  <c r="Q11" i="18"/>
  <c r="I37" i="18" s="1"/>
  <c r="C11" i="18"/>
  <c r="C10" i="18"/>
  <c r="C9" i="18"/>
  <c r="I8" i="18"/>
  <c r="C8" i="18"/>
  <c r="K5" i="18"/>
  <c r="I5" i="18"/>
  <c r="A3" i="18"/>
  <c r="C3" i="18" s="1"/>
  <c r="C2" i="18"/>
  <c r="N1" i="18"/>
  <c r="C22" i="18" l="1"/>
  <c r="A17" i="18"/>
  <c r="C17" i="18" s="1"/>
  <c r="A4" i="18"/>
  <c r="A5" i="18" s="1"/>
  <c r="C5" i="18" s="1"/>
  <c r="C23" i="18"/>
  <c r="A24" i="18"/>
  <c r="A25" i="18" s="1"/>
  <c r="A18" i="18"/>
  <c r="A19" i="18" s="1"/>
  <c r="A29" i="18"/>
  <c r="A32" i="18" s="1"/>
  <c r="A33" i="18" s="1"/>
  <c r="O27" i="18"/>
  <c r="C39" i="18"/>
  <c r="A6" i="18"/>
  <c r="A26" i="18"/>
  <c r="C26" i="18" s="1"/>
  <c r="C25" i="18"/>
  <c r="A41" i="18"/>
  <c r="C40" i="18"/>
  <c r="C19" i="18"/>
  <c r="A20" i="18"/>
  <c r="C20" i="18" s="1"/>
  <c r="C46" i="18"/>
  <c r="A47" i="18"/>
  <c r="C18" i="18"/>
  <c r="C24" i="18"/>
  <c r="N25" i="18"/>
  <c r="O25" i="18" s="1"/>
  <c r="N26" i="18"/>
  <c r="C29" i="18"/>
  <c r="L32" i="18"/>
  <c r="M33" i="18"/>
  <c r="C45" i="18"/>
  <c r="C32" i="18" l="1"/>
  <c r="C4" i="18"/>
  <c r="N27" i="18"/>
  <c r="C33" i="18"/>
  <c r="A34" i="18"/>
  <c r="C34" i="18" s="1"/>
  <c r="C6" i="18"/>
  <c r="A7" i="18"/>
  <c r="C7" i="18" s="1"/>
  <c r="A48" i="18"/>
  <c r="C47" i="18"/>
  <c r="C41" i="18"/>
  <c r="A42" i="18"/>
  <c r="Q20" i="18" l="1"/>
  <c r="P20" i="18"/>
  <c r="P18" i="18"/>
  <c r="P19" i="18"/>
  <c r="R19" i="18"/>
  <c r="R21" i="18"/>
  <c r="A49" i="18"/>
  <c r="C49" i="18" s="1"/>
  <c r="C48" i="18"/>
  <c r="R20" i="18"/>
  <c r="R18" i="18"/>
  <c r="P21" i="18"/>
  <c r="Q21" i="18"/>
  <c r="C42" i="18"/>
  <c r="R22" i="18" s="1"/>
  <c r="A43" i="18"/>
  <c r="C43" i="18" s="1"/>
  <c r="P26" i="18" s="1"/>
  <c r="Q19" i="18"/>
  <c r="Q18" i="18"/>
  <c r="P22" i="18" l="1"/>
  <c r="Q22" i="18"/>
  <c r="Q26" i="18"/>
  <c r="R26" i="18"/>
  <c r="O26" i="18" s="1"/>
  <c r="V27" i="18" s="1"/>
  <c r="T16" i="18" s="1"/>
  <c r="P51" i="12" l="1"/>
  <c r="P49" i="12"/>
  <c r="P50" i="12" s="1"/>
  <c r="P52" i="12" l="1"/>
  <c r="F52" i="13" s="1"/>
  <c r="E52" i="13" s="1"/>
  <c r="F67" i="13"/>
  <c r="A67" i="13"/>
  <c r="F66" i="13"/>
  <c r="A66" i="13"/>
  <c r="F62" i="13"/>
  <c r="A62" i="13"/>
  <c r="F61" i="13"/>
  <c r="A61" i="13"/>
  <c r="F60" i="13"/>
  <c r="A60" i="13"/>
  <c r="F59" i="13"/>
  <c r="A59" i="13"/>
  <c r="F58" i="13"/>
  <c r="A58" i="13"/>
  <c r="F57" i="13"/>
  <c r="A57" i="13"/>
  <c r="F56" i="13"/>
  <c r="A56" i="13"/>
  <c r="F55" i="13"/>
  <c r="A55" i="13"/>
  <c r="F54" i="13"/>
  <c r="A54" i="13"/>
  <c r="F53" i="13"/>
  <c r="A53" i="13"/>
  <c r="F51" i="13"/>
  <c r="A51" i="13"/>
  <c r="F50" i="13"/>
  <c r="A50" i="13"/>
  <c r="W67" i="12"/>
  <c r="A67" i="12"/>
  <c r="X66" i="12"/>
  <c r="W66" i="12"/>
  <c r="A66" i="12"/>
  <c r="W62" i="12"/>
  <c r="A62" i="12"/>
  <c r="W61" i="12"/>
  <c r="A61" i="12"/>
  <c r="X60" i="12"/>
  <c r="W60" i="12"/>
  <c r="A60" i="12"/>
  <c r="W59" i="12"/>
  <c r="A59" i="12"/>
  <c r="W58" i="12"/>
  <c r="A58" i="12"/>
  <c r="W57" i="12"/>
  <c r="A57" i="12"/>
  <c r="W56" i="12"/>
  <c r="A56" i="12"/>
  <c r="V56" i="12" s="1"/>
  <c r="W55" i="12"/>
  <c r="A55" i="12"/>
  <c r="V55" i="12" s="1"/>
  <c r="W54" i="12"/>
  <c r="A54" i="12"/>
  <c r="V54" i="12" s="1"/>
  <c r="W53" i="12"/>
  <c r="A53" i="12"/>
  <c r="V53" i="12" s="1"/>
  <c r="W51" i="12"/>
  <c r="A51" i="12"/>
  <c r="B51" i="12" s="1"/>
  <c r="W50" i="12"/>
  <c r="A50" i="12"/>
  <c r="H50" i="12" s="1"/>
  <c r="F32" i="13"/>
  <c r="A32" i="13"/>
  <c r="F30" i="13"/>
  <c r="A30" i="13"/>
  <c r="F29" i="13"/>
  <c r="A29" i="13"/>
  <c r="F28" i="13"/>
  <c r="A28" i="13"/>
  <c r="F19" i="13"/>
  <c r="A19" i="13"/>
  <c r="W32" i="12"/>
  <c r="A32" i="12"/>
  <c r="W30" i="12"/>
  <c r="A30" i="12"/>
  <c r="W29" i="12"/>
  <c r="A29" i="12"/>
  <c r="X28" i="12"/>
  <c r="D28" i="13" s="1"/>
  <c r="W28" i="12"/>
  <c r="A28" i="12"/>
  <c r="X19" i="12"/>
  <c r="D19" i="13" s="1"/>
  <c r="W19" i="12"/>
  <c r="A19" i="12"/>
  <c r="F70" i="13"/>
  <c r="A70" i="13"/>
  <c r="F68" i="13"/>
  <c r="A68" i="13"/>
  <c r="F49" i="13"/>
  <c r="A49" i="13"/>
  <c r="F48" i="13"/>
  <c r="A48" i="13"/>
  <c r="F47" i="13"/>
  <c r="A47" i="13"/>
  <c r="W70" i="12"/>
  <c r="A70" i="12"/>
  <c r="W68" i="12"/>
  <c r="A68" i="12"/>
  <c r="W49" i="12"/>
  <c r="A49" i="12"/>
  <c r="W48" i="12"/>
  <c r="A48" i="12"/>
  <c r="X47" i="12"/>
  <c r="D47" i="13" s="1"/>
  <c r="W47" i="12"/>
  <c r="A47" i="12"/>
  <c r="F18" i="13"/>
  <c r="A18" i="13"/>
  <c r="F17" i="13"/>
  <c r="A17" i="13"/>
  <c r="F16" i="13"/>
  <c r="A16" i="13"/>
  <c r="F15" i="13"/>
  <c r="A15" i="13"/>
  <c r="F14" i="13"/>
  <c r="A14" i="13"/>
  <c r="W18" i="12"/>
  <c r="A18" i="12"/>
  <c r="V18" i="12" s="1"/>
  <c r="W17" i="12"/>
  <c r="A17" i="12"/>
  <c r="I17" i="12" s="1"/>
  <c r="W16" i="12"/>
  <c r="A16" i="12"/>
  <c r="W15" i="12"/>
  <c r="A15" i="12"/>
  <c r="V15" i="12" s="1"/>
  <c r="W14" i="12"/>
  <c r="A14" i="12"/>
  <c r="V51" i="12" l="1"/>
  <c r="H51" i="12"/>
  <c r="V50" i="12"/>
  <c r="B50" i="12"/>
  <c r="D60" i="13"/>
  <c r="D66" i="13"/>
  <c r="B54" i="12"/>
  <c r="B55" i="12"/>
  <c r="B56" i="12"/>
  <c r="B57" i="12"/>
  <c r="V57" i="12"/>
  <c r="H57" i="12"/>
  <c r="E53" i="13"/>
  <c r="E61" i="13"/>
  <c r="H53" i="12"/>
  <c r="H54" i="12"/>
  <c r="H55" i="12"/>
  <c r="H56" i="12"/>
  <c r="I57" i="12"/>
  <c r="B58" i="12"/>
  <c r="V58" i="12"/>
  <c r="H58" i="12"/>
  <c r="I58" i="12"/>
  <c r="B59" i="12"/>
  <c r="V59" i="12"/>
  <c r="H59" i="12"/>
  <c r="I59" i="12"/>
  <c r="B53" i="12"/>
  <c r="E57" i="13"/>
  <c r="I50" i="12"/>
  <c r="I51" i="12"/>
  <c r="I53" i="12"/>
  <c r="I54" i="12"/>
  <c r="I55" i="12"/>
  <c r="I56" i="12"/>
  <c r="E51" i="13"/>
  <c r="E55" i="13"/>
  <c r="E59" i="13"/>
  <c r="H61" i="12"/>
  <c r="V61" i="12"/>
  <c r="H62" i="12"/>
  <c r="V62" i="12"/>
  <c r="H67" i="12"/>
  <c r="V67" i="12"/>
  <c r="I61" i="12"/>
  <c r="I62" i="12"/>
  <c r="I67" i="12"/>
  <c r="E50" i="13"/>
  <c r="E54" i="13"/>
  <c r="E56" i="13"/>
  <c r="E58" i="13"/>
  <c r="E60" i="13"/>
  <c r="E62" i="13"/>
  <c r="E66" i="13"/>
  <c r="E67" i="13"/>
  <c r="B61" i="12"/>
  <c r="B62" i="12"/>
  <c r="B67" i="12"/>
  <c r="E70" i="13"/>
  <c r="C47" i="13"/>
  <c r="E47" i="13"/>
  <c r="B30" i="12"/>
  <c r="V30" i="12"/>
  <c r="H30" i="12"/>
  <c r="I30" i="12"/>
  <c r="B32" i="12"/>
  <c r="V32" i="12"/>
  <c r="H32" i="12"/>
  <c r="I32" i="12"/>
  <c r="E29" i="13"/>
  <c r="B29" i="12"/>
  <c r="V29" i="12"/>
  <c r="H29" i="12"/>
  <c r="I29" i="12"/>
  <c r="E19" i="13"/>
  <c r="E28" i="13"/>
  <c r="E30" i="13"/>
  <c r="E32" i="13"/>
  <c r="B48" i="12"/>
  <c r="V48" i="12"/>
  <c r="H48" i="12"/>
  <c r="I49" i="12"/>
  <c r="E49" i="13"/>
  <c r="I48" i="12"/>
  <c r="B68" i="12"/>
  <c r="V68" i="12"/>
  <c r="H68" i="12"/>
  <c r="I68" i="12"/>
  <c r="B49" i="12"/>
  <c r="V49" i="12"/>
  <c r="H49" i="12"/>
  <c r="B70" i="12"/>
  <c r="V70" i="12"/>
  <c r="H70" i="12"/>
  <c r="I70" i="12"/>
  <c r="E48" i="13"/>
  <c r="E68" i="13"/>
  <c r="H15" i="12"/>
  <c r="I15" i="12"/>
  <c r="H16" i="12"/>
  <c r="H18" i="12"/>
  <c r="H14" i="12"/>
  <c r="I16" i="12"/>
  <c r="V16" i="12"/>
  <c r="I14" i="12"/>
  <c r="V14" i="12"/>
  <c r="H17" i="12"/>
  <c r="V17" i="12"/>
  <c r="E14" i="13"/>
  <c r="E18" i="13"/>
  <c r="B14" i="12"/>
  <c r="B15" i="12"/>
  <c r="B16" i="12"/>
  <c r="B17" i="12"/>
  <c r="E16" i="13"/>
  <c r="I18" i="12"/>
  <c r="E15" i="13"/>
  <c r="E17" i="13"/>
  <c r="B18" i="12"/>
  <c r="C60" i="13" l="1"/>
  <c r="C66" i="13"/>
  <c r="C28" i="13"/>
  <c r="C19" i="13"/>
  <c r="F11" i="13" l="1"/>
  <c r="F13" i="13"/>
  <c r="E7" i="13" l="1"/>
  <c r="P9" i="12"/>
  <c r="F10" i="13"/>
  <c r="G10" i="13" s="1"/>
  <c r="H10" i="13" s="1"/>
  <c r="I10" i="13" s="1"/>
  <c r="J10" i="13" s="1"/>
  <c r="K10" i="13" s="1"/>
  <c r="L10" i="13" s="1"/>
  <c r="M10" i="13" s="1"/>
  <c r="N10" i="13" s="1"/>
  <c r="O10" i="13" s="1"/>
  <c r="U10" i="13"/>
  <c r="AC9" i="11"/>
  <c r="AC10" i="11" s="1"/>
  <c r="K79" i="12"/>
  <c r="X13" i="12"/>
  <c r="W13" i="12"/>
  <c r="N24" i="17"/>
  <c r="N26" i="17" s="1"/>
  <c r="Q224" i="16"/>
  <c r="Q223" i="16"/>
  <c r="P2" i="11"/>
  <c r="A20" i="11"/>
  <c r="A23" i="11" s="1"/>
  <c r="Q10" i="12"/>
  <c r="Q11" i="17"/>
  <c r="M33" i="17" s="1"/>
  <c r="N8" i="11"/>
  <c r="O9" i="11"/>
  <c r="P9" i="11" s="1"/>
  <c r="O10" i="11"/>
  <c r="A13" i="11"/>
  <c r="K13" i="11" s="1"/>
  <c r="N11" i="11" s="1"/>
  <c r="D17" i="11"/>
  <c r="L38" i="11"/>
  <c r="K85" i="12"/>
  <c r="A11" i="13"/>
  <c r="E11" i="13" s="1"/>
  <c r="X11" i="12"/>
  <c r="O11" i="12" s="1"/>
  <c r="D11" i="13" s="1"/>
  <c r="J12" i="12"/>
  <c r="A12" i="13" s="1"/>
  <c r="N12" i="12"/>
  <c r="U12" i="12" s="1"/>
  <c r="A13" i="13"/>
  <c r="E13" i="13" s="1"/>
  <c r="K82"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X38" i="16"/>
  <c r="U38" i="16"/>
  <c r="V38" i="16"/>
  <c r="I50" i="17" l="1"/>
  <c r="I50" i="18"/>
  <c r="I49" i="17"/>
  <c r="I49" i="18"/>
  <c r="B73" i="13"/>
  <c r="I42" i="18"/>
  <c r="B76" i="13"/>
  <c r="O42" i="18"/>
  <c r="A46" i="17"/>
  <c r="A47" i="17" s="1"/>
  <c r="A48" i="17" s="1"/>
  <c r="A40" i="17"/>
  <c r="A41" i="17" s="1"/>
  <c r="A17" i="17"/>
  <c r="C17" i="17" s="1"/>
  <c r="G57" i="16"/>
  <c r="C46" i="17"/>
  <c r="C40" i="17"/>
  <c r="C28" i="17"/>
  <c r="A26" i="11"/>
  <c r="N25" i="17"/>
  <c r="O25" i="17" s="1"/>
  <c r="I37" i="17"/>
  <c r="L32" i="17"/>
  <c r="A49" i="17"/>
  <c r="C49" i="17" s="1"/>
  <c r="C48" i="17"/>
  <c r="C47" i="17"/>
  <c r="A4" i="17"/>
  <c r="A23" i="17"/>
  <c r="D11" i="12"/>
  <c r="V11" i="12"/>
  <c r="F11" i="12"/>
  <c r="H11" i="12"/>
  <c r="E11" i="12"/>
  <c r="C11" i="12"/>
  <c r="B11" i="12"/>
  <c r="C13" i="12"/>
  <c r="V13" i="12"/>
  <c r="F13" i="12"/>
  <c r="L41"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V19" i="12" l="1"/>
  <c r="V28" i="12" s="1"/>
  <c r="A18" i="17"/>
  <c r="A29" i="1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69" i="12" l="1"/>
  <c r="S69" i="12" s="1"/>
  <c r="T69" i="12" s="1"/>
  <c r="Z23" i="12"/>
  <c r="S23" i="12" s="1"/>
  <c r="T23" i="12" s="1"/>
  <c r="Z21" i="12"/>
  <c r="S21" i="12" s="1"/>
  <c r="T21" i="12" s="1"/>
  <c r="Z20" i="12"/>
  <c r="S20" i="12" s="1"/>
  <c r="T20" i="12" s="1"/>
  <c r="Z22" i="12"/>
  <c r="S22" i="12" s="1"/>
  <c r="T22" i="12" s="1"/>
  <c r="Z24" i="12"/>
  <c r="S24" i="12" s="1"/>
  <c r="T24" i="12" s="1"/>
  <c r="Z27" i="12"/>
  <c r="S27" i="12" s="1"/>
  <c r="T27" i="12" s="1"/>
  <c r="Z26" i="12"/>
  <c r="S26" i="12" s="1"/>
  <c r="T26" i="12" s="1"/>
  <c r="Z25" i="12"/>
  <c r="S25" i="12" s="1"/>
  <c r="T25" i="12" s="1"/>
  <c r="Z40" i="12"/>
  <c r="Z38" i="12"/>
  <c r="Z37" i="12"/>
  <c r="Z45" i="12"/>
  <c r="S45" i="12" s="1"/>
  <c r="T45" i="12" s="1"/>
  <c r="Z65" i="12"/>
  <c r="S65" i="12" s="1"/>
  <c r="T65" i="12" s="1"/>
  <c r="Z64" i="12"/>
  <c r="S64" i="12" s="1"/>
  <c r="T64" i="12" s="1"/>
  <c r="Z63" i="12"/>
  <c r="S63" i="12" s="1"/>
  <c r="T63" i="12" s="1"/>
  <c r="Z52" i="12"/>
  <c r="Z44" i="12"/>
  <c r="S44" i="12" s="1"/>
  <c r="T44" i="12" s="1"/>
  <c r="Z43" i="12"/>
  <c r="S43" i="12" s="1"/>
  <c r="T43" i="12" s="1"/>
  <c r="Z42" i="12"/>
  <c r="S42" i="12" s="1"/>
  <c r="T42" i="12" s="1"/>
  <c r="Z35" i="12"/>
  <c r="S35" i="12" s="1"/>
  <c r="T35" i="12" s="1"/>
  <c r="Z41" i="12"/>
  <c r="S41" i="12" s="1"/>
  <c r="T41" i="12" s="1"/>
  <c r="Z36" i="12"/>
  <c r="S36" i="12" s="1"/>
  <c r="T36" i="12" s="1"/>
  <c r="Z39" i="12"/>
  <c r="S39" i="12" s="1"/>
  <c r="T39" i="12" s="1"/>
  <c r="Z31" i="12"/>
  <c r="S31" i="12" s="1"/>
  <c r="T31" i="12" s="1"/>
  <c r="Z34" i="12"/>
  <c r="S34" i="12" s="1"/>
  <c r="T34" i="12" s="1"/>
  <c r="Z33" i="12"/>
  <c r="S33" i="12" s="1"/>
  <c r="T33" i="12" s="1"/>
  <c r="Z46" i="12"/>
  <c r="V47" i="12"/>
  <c r="Z67" i="12"/>
  <c r="Z66" i="12"/>
  <c r="S66" i="12" s="1"/>
  <c r="Z62" i="12"/>
  <c r="Z61" i="12"/>
  <c r="Z60" i="12"/>
  <c r="S60" i="12" s="1"/>
  <c r="Z59" i="12"/>
  <c r="Z58" i="12"/>
  <c r="Z57" i="12"/>
  <c r="Z50" i="12"/>
  <c r="Z56" i="12"/>
  <c r="Z55" i="12"/>
  <c r="Z51" i="12"/>
  <c r="Z54" i="12"/>
  <c r="Z53" i="12"/>
  <c r="Z32" i="12"/>
  <c r="Z30" i="12"/>
  <c r="Z29" i="12"/>
  <c r="Z28" i="12"/>
  <c r="S28" i="12" s="1"/>
  <c r="Z19" i="12"/>
  <c r="S19" i="12" s="1"/>
  <c r="Z70" i="12"/>
  <c r="Z68" i="12"/>
  <c r="Z49" i="12"/>
  <c r="Z48" i="12"/>
  <c r="Z47" i="12"/>
  <c r="S47" i="12" s="1"/>
  <c r="Z18" i="12"/>
  <c r="Z17" i="12"/>
  <c r="Z16" i="12"/>
  <c r="Z15" i="12"/>
  <c r="Z14" i="12"/>
  <c r="A32" i="11"/>
  <c r="A35" i="11" s="1"/>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60" i="12" l="1"/>
  <c r="V66" i="12" s="1"/>
  <c r="C25" i="17"/>
  <c r="A26" i="17"/>
  <c r="C26" i="17" s="1"/>
  <c r="C6" i="17"/>
  <c r="A7" i="17"/>
  <c r="C7" i="17" s="1"/>
  <c r="Q20" i="17" s="1"/>
  <c r="P18" i="17" l="1"/>
  <c r="R26" i="17"/>
  <c r="P22" i="17"/>
  <c r="P19" i="17"/>
  <c r="P21" i="17"/>
  <c r="R22" i="17"/>
  <c r="Q26" i="17"/>
  <c r="Q22" i="17"/>
  <c r="R19" i="17"/>
  <c r="P26" i="17"/>
  <c r="O26" i="17" s="1"/>
  <c r="O27" i="17" s="1"/>
  <c r="R21" i="17"/>
  <c r="R18" i="17"/>
  <c r="Q18" i="17"/>
  <c r="P20" i="17"/>
  <c r="R20" i="17"/>
  <c r="Q21" i="17"/>
  <c r="Q19" i="17"/>
  <c r="V27" i="17" l="1"/>
  <c r="T16" i="17" s="1"/>
  <c r="M21" i="11" l="1"/>
  <c r="C23" i="11"/>
  <c r="F23" i="11" l="1"/>
  <c r="H23" i="11"/>
  <c r="E23" i="11"/>
  <c r="G23" i="11"/>
  <c r="B20" i="11"/>
  <c r="M27" i="11" l="1"/>
  <c r="M24" i="11"/>
  <c r="C32" i="11"/>
  <c r="C29" i="11"/>
  <c r="C26" i="11"/>
  <c r="E26" i="11" s="1"/>
  <c r="C35" i="11"/>
  <c r="M33" i="11"/>
  <c r="F29" i="11" l="1"/>
  <c r="G29" i="11"/>
  <c r="E29" i="11"/>
  <c r="E32" i="11" s="1"/>
  <c r="E35" i="11" s="1"/>
  <c r="H29" i="11"/>
  <c r="B29" i="11"/>
  <c r="H32" i="11"/>
  <c r="F32" i="11"/>
  <c r="G32" i="11"/>
  <c r="F26" i="11"/>
  <c r="H26" i="11"/>
  <c r="B26" i="11"/>
  <c r="G26" i="11"/>
  <c r="B23" i="11"/>
  <c r="H35" i="11"/>
  <c r="G35" i="11"/>
  <c r="F35" i="11"/>
  <c r="B35" i="11"/>
  <c r="B32" i="11"/>
  <c r="P28" i="11" l="1"/>
  <c r="Q28" i="11" s="1"/>
  <c r="R28" i="11" s="1"/>
  <c r="S28" i="11" s="1"/>
  <c r="T28" i="11" s="1"/>
  <c r="U28" i="11" s="1"/>
  <c r="V28" i="11" s="1"/>
  <c r="W28" i="11" s="1"/>
  <c r="AC27" i="11"/>
  <c r="AC28" i="11" s="1"/>
  <c r="AC33" i="11"/>
  <c r="AC34" i="11" s="1"/>
  <c r="P34" i="11"/>
  <c r="Q34" i="11" s="1"/>
  <c r="R34" i="11" s="1"/>
  <c r="S34" i="11" s="1"/>
  <c r="T34" i="11" s="1"/>
  <c r="I29" i="11"/>
  <c r="J35" i="11" l="1"/>
  <c r="J29" i="11"/>
  <c r="D29" i="11" s="1"/>
  <c r="J26" i="11"/>
  <c r="J20" i="11"/>
  <c r="J23" i="11"/>
  <c r="J32" i="11"/>
  <c r="U34" i="11"/>
  <c r="I32" i="11"/>
  <c r="D32" i="11" l="1"/>
  <c r="I23" i="11"/>
  <c r="D23" i="11" s="1"/>
  <c r="V34" i="11"/>
  <c r="I26" i="11"/>
  <c r="D26" i="11" s="1"/>
  <c r="I35" i="11"/>
  <c r="D35" i="11" s="1"/>
  <c r="I20" i="11"/>
  <c r="D20" i="11" s="1"/>
  <c r="E14" i="12" l="1"/>
  <c r="E15" i="12" s="1"/>
  <c r="E16" i="12" s="1"/>
  <c r="E17" i="12" s="1"/>
  <c r="E18" i="12" s="1"/>
  <c r="E19" i="12" s="1"/>
  <c r="E20" i="12" s="1"/>
  <c r="E21" i="12" s="1"/>
  <c r="F14" i="12"/>
  <c r="F15" i="12" s="1"/>
  <c r="F16" i="12" s="1"/>
  <c r="F17" i="12" s="1"/>
  <c r="F18" i="12" s="1"/>
  <c r="F19" i="12" s="1"/>
  <c r="F20" i="12" s="1"/>
  <c r="F21" i="12" s="1"/>
  <c r="W34" i="11"/>
  <c r="E28" i="12" l="1"/>
  <c r="E29" i="12" s="1"/>
  <c r="E30" i="12" s="1"/>
  <c r="E31" i="12" s="1"/>
  <c r="F28" i="12"/>
  <c r="F29" i="12" s="1"/>
  <c r="F30" i="12" s="1"/>
  <c r="F31" i="12" s="1"/>
  <c r="E32" i="12" l="1"/>
  <c r="E33" i="12" s="1"/>
  <c r="E34" i="12" s="1"/>
  <c r="F32" i="12"/>
  <c r="F33" i="12" s="1"/>
  <c r="F34" i="12" s="1"/>
  <c r="F22" i="12"/>
  <c r="E22" i="12"/>
  <c r="E47" i="12"/>
  <c r="E48" i="12" s="1"/>
  <c r="E49" i="12" s="1"/>
  <c r="E50" i="12" s="1"/>
  <c r="E51" i="12" s="1"/>
  <c r="F47" i="12"/>
  <c r="F48" i="12" s="1"/>
  <c r="F49" i="12" s="1"/>
  <c r="F50" i="12" s="1"/>
  <c r="F51" i="12" s="1"/>
  <c r="E23" i="12" l="1"/>
  <c r="F23" i="12"/>
  <c r="E52" i="12"/>
  <c r="E53" i="12" s="1"/>
  <c r="E54" i="12" s="1"/>
  <c r="E55" i="12" s="1"/>
  <c r="E56" i="12" s="1"/>
  <c r="E57" i="12" s="1"/>
  <c r="E58" i="12" s="1"/>
  <c r="E59" i="12" s="1"/>
  <c r="E60" i="12" s="1"/>
  <c r="E61" i="12" s="1"/>
  <c r="E62" i="12" s="1"/>
  <c r="E63" i="12" s="1"/>
  <c r="E64" i="12" s="1"/>
  <c r="E65" i="12" s="1"/>
  <c r="F52" i="12"/>
  <c r="F53" i="12" s="1"/>
  <c r="F54" i="12" s="1"/>
  <c r="F55" i="12" s="1"/>
  <c r="F56" i="12" s="1"/>
  <c r="F57" i="12" s="1"/>
  <c r="F58" i="12" s="1"/>
  <c r="F59" i="12" s="1"/>
  <c r="F60" i="12" s="1"/>
  <c r="F61" i="12" s="1"/>
  <c r="F62" i="12" s="1"/>
  <c r="F63" i="12" s="1"/>
  <c r="F64" i="12" s="1"/>
  <c r="F65" i="12" s="1"/>
  <c r="F35" i="12"/>
  <c r="F36" i="12" s="1"/>
  <c r="E35" i="12"/>
  <c r="E36" i="12" s="1"/>
  <c r="M30" i="11"/>
  <c r="F24" i="12" l="1"/>
  <c r="F25" i="12" s="1"/>
  <c r="F26" i="12" s="1"/>
  <c r="F27" i="12" s="1"/>
  <c r="E24" i="12"/>
  <c r="E25" i="12" s="1"/>
  <c r="E26" i="12" s="1"/>
  <c r="E27" i="12" s="1"/>
  <c r="E37" i="12"/>
  <c r="F37" i="12"/>
  <c r="F66" i="12"/>
  <c r="F67" i="12" s="1"/>
  <c r="E66" i="12"/>
  <c r="E67" i="12" s="1"/>
  <c r="D14" i="12"/>
  <c r="D15" i="12" s="1"/>
  <c r="D16" i="12" s="1"/>
  <c r="D17" i="12" s="1"/>
  <c r="D18" i="12" s="1"/>
  <c r="D19" i="12" s="1"/>
  <c r="D20" i="12" s="1"/>
  <c r="D21" i="12" s="1"/>
  <c r="E68" i="12" l="1"/>
  <c r="F68" i="12"/>
  <c r="D28" i="12"/>
  <c r="D29" i="12" s="1"/>
  <c r="D30" i="12" s="1"/>
  <c r="D31" i="12" s="1"/>
  <c r="F38" i="12"/>
  <c r="F39" i="12" s="1"/>
  <c r="F40" i="12" s="1"/>
  <c r="E38" i="12"/>
  <c r="E39" i="12" s="1"/>
  <c r="E40" i="12" s="1"/>
  <c r="E69" i="12" l="1"/>
  <c r="E70" i="12" s="1"/>
  <c r="F69" i="12"/>
  <c r="F70" i="12" s="1"/>
  <c r="D32" i="12"/>
  <c r="D33" i="12" s="1"/>
  <c r="D34" i="12" s="1"/>
  <c r="D22" i="12"/>
  <c r="E41" i="12"/>
  <c r="E42" i="12" s="1"/>
  <c r="E43" i="12" s="1"/>
  <c r="F41" i="12"/>
  <c r="F42" i="12" s="1"/>
  <c r="F43" i="12" s="1"/>
  <c r="D47" i="12"/>
  <c r="D48" i="12" s="1"/>
  <c r="D49" i="12" s="1"/>
  <c r="D50" i="12" s="1"/>
  <c r="D51" i="12" s="1"/>
  <c r="D23" i="12" l="1"/>
  <c r="D52" i="12"/>
  <c r="D53" i="12" s="1"/>
  <c r="D54" i="12" s="1"/>
  <c r="D55" i="12" s="1"/>
  <c r="D56" i="12" s="1"/>
  <c r="D57" i="12" s="1"/>
  <c r="D58" i="12" s="1"/>
  <c r="D59" i="12" s="1"/>
  <c r="D60" i="12" s="1"/>
  <c r="D61" i="12" s="1"/>
  <c r="D62" i="12" s="1"/>
  <c r="D63" i="12" s="1"/>
  <c r="D64" i="12" s="1"/>
  <c r="D65" i="12" s="1"/>
  <c r="E44" i="12"/>
  <c r="E45" i="12" s="1"/>
  <c r="F44" i="12"/>
  <c r="F45" i="12" s="1"/>
  <c r="D35" i="12"/>
  <c r="D36" i="12" s="1"/>
  <c r="C14" i="12"/>
  <c r="D24" i="12" l="1"/>
  <c r="D25" i="12" s="1"/>
  <c r="D26" i="12" s="1"/>
  <c r="D27" i="12" s="1"/>
  <c r="D37" i="12"/>
  <c r="D66" i="12"/>
  <c r="D67" i="12" s="1"/>
  <c r="C15" i="12"/>
  <c r="D68" i="12" l="1"/>
  <c r="D38" i="12"/>
  <c r="D39" i="12" s="1"/>
  <c r="D40" i="12" s="1"/>
  <c r="E46" i="12"/>
  <c r="F46" i="12"/>
  <c r="G14" i="12"/>
  <c r="C16" i="12"/>
  <c r="D69" i="12" l="1"/>
  <c r="D70" i="12" s="1"/>
  <c r="D41" i="12"/>
  <c r="D42" i="12" s="1"/>
  <c r="D43" i="12" s="1"/>
  <c r="C17" i="12"/>
  <c r="G15" i="12"/>
  <c r="K14" i="12"/>
  <c r="B14" i="13" s="1"/>
  <c r="D44" i="12" l="1"/>
  <c r="D45" i="12" s="1"/>
  <c r="G16" i="12"/>
  <c r="K15" i="12"/>
  <c r="B15" i="13" s="1"/>
  <c r="C18" i="12"/>
  <c r="C19" i="12" l="1"/>
  <c r="G17" i="12"/>
  <c r="K16" i="12"/>
  <c r="B16" i="13" s="1"/>
  <c r="C20" i="12" l="1"/>
  <c r="C21" i="12" s="1"/>
  <c r="D46" i="12"/>
  <c r="G18" i="12"/>
  <c r="K17" i="12"/>
  <c r="B17" i="13" s="1"/>
  <c r="G19" i="12" l="1"/>
  <c r="K18" i="12"/>
  <c r="B18" i="13" s="1"/>
  <c r="G20" i="12" l="1"/>
  <c r="C22" i="12"/>
  <c r="K19" i="12"/>
  <c r="C23" i="12" l="1"/>
  <c r="K20" i="12"/>
  <c r="B20" i="13" s="1"/>
  <c r="G21" i="12"/>
  <c r="B19" i="13"/>
  <c r="L21" i="11"/>
  <c r="C24" i="12" l="1"/>
  <c r="C25" i="12" s="1"/>
  <c r="C26" i="12" s="1"/>
  <c r="C27" i="12" s="1"/>
  <c r="K21" i="12"/>
  <c r="B21" i="13" s="1"/>
  <c r="G28" i="12" l="1"/>
  <c r="G22" i="12" l="1"/>
  <c r="G23" i="12" s="1"/>
  <c r="C28" i="12"/>
  <c r="C29" i="12" s="1"/>
  <c r="C30" i="12" s="1"/>
  <c r="G29" i="12"/>
  <c r="K23" i="12" l="1"/>
  <c r="B23" i="13" s="1"/>
  <c r="K22" i="12"/>
  <c r="B22" i="13" s="1"/>
  <c r="K28" i="12"/>
  <c r="L24" i="11" s="1"/>
  <c r="G30" i="12"/>
  <c r="K29" i="12"/>
  <c r="B29" i="13" s="1"/>
  <c r="S24" i="11"/>
  <c r="T24" i="11"/>
  <c r="V24" i="11"/>
  <c r="G24" i="12" l="1"/>
  <c r="B28" i="13"/>
  <c r="K30" i="12"/>
  <c r="B30" i="13" s="1"/>
  <c r="C31" i="12"/>
  <c r="P19" i="11"/>
  <c r="G25" i="12" l="1"/>
  <c r="K24" i="12"/>
  <c r="B24" i="13" s="1"/>
  <c r="C32" i="12"/>
  <c r="C33" i="12" s="1"/>
  <c r="C34" i="12" s="1"/>
  <c r="C35" i="12" s="1"/>
  <c r="Q19" i="11"/>
  <c r="R19" i="11" s="1"/>
  <c r="K25" i="12" l="1"/>
  <c r="B25" i="13" s="1"/>
  <c r="G26" i="12"/>
  <c r="C36" i="12"/>
  <c r="C37" i="12" s="1"/>
  <c r="C38" i="12" s="1"/>
  <c r="G31" i="12"/>
  <c r="S19" i="11"/>
  <c r="K31" i="12" l="1"/>
  <c r="B31" i="13" s="1"/>
  <c r="G27" i="12"/>
  <c r="K27" i="12" s="1"/>
  <c r="B27" i="13" s="1"/>
  <c r="K26" i="12"/>
  <c r="B26" i="13" s="1"/>
  <c r="C39" i="12"/>
  <c r="C48" i="13"/>
  <c r="D49" i="13"/>
  <c r="C16" i="13"/>
  <c r="D29" i="13"/>
  <c r="D50" i="13"/>
  <c r="C17" i="13"/>
  <c r="C30" i="13"/>
  <c r="C18" i="13"/>
  <c r="D32" i="13"/>
  <c r="C29" i="13"/>
  <c r="D48" i="13"/>
  <c r="D62" i="13"/>
  <c r="C32" i="13"/>
  <c r="D59" i="13"/>
  <c r="C50" i="13"/>
  <c r="C59" i="13"/>
  <c r="D30" i="13"/>
  <c r="C62" i="13"/>
  <c r="C49" i="13"/>
  <c r="C70" i="13"/>
  <c r="D70" i="13"/>
  <c r="C68" i="13"/>
  <c r="D68" i="13"/>
  <c r="D67" i="13"/>
  <c r="C61" i="13"/>
  <c r="D61" i="13"/>
  <c r="C58" i="13"/>
  <c r="D58" i="13"/>
  <c r="D57" i="13"/>
  <c r="C57" i="13"/>
  <c r="C56" i="13"/>
  <c r="D56" i="13"/>
  <c r="C55" i="13"/>
  <c r="D55" i="13"/>
  <c r="D54" i="13"/>
  <c r="C54" i="13"/>
  <c r="C53" i="13"/>
  <c r="D53" i="13"/>
  <c r="D51" i="13"/>
  <c r="C51" i="13"/>
  <c r="C15" i="13"/>
  <c r="C14" i="13"/>
  <c r="T19" i="11"/>
  <c r="G32" i="12" l="1"/>
  <c r="G33" i="12" s="1"/>
  <c r="K33" i="12" s="1"/>
  <c r="B33" i="13" s="1"/>
  <c r="C40" i="12"/>
  <c r="U19" i="11"/>
  <c r="K32" i="12" l="1"/>
  <c r="B32" i="13" s="1"/>
  <c r="G34" i="12"/>
  <c r="G35" i="12" s="1"/>
  <c r="K35" i="12" s="1"/>
  <c r="B35" i="13" s="1"/>
  <c r="C41" i="12"/>
  <c r="C42" i="12" s="1"/>
  <c r="C43" i="12" s="1"/>
  <c r="C44" i="12" s="1"/>
  <c r="C45" i="12" s="1"/>
  <c r="V19" i="11"/>
  <c r="K34" i="12" l="1"/>
  <c r="B34" i="13" s="1"/>
  <c r="G36" i="12"/>
  <c r="G37" i="12" s="1"/>
  <c r="W19" i="11"/>
  <c r="K37" i="12" l="1"/>
  <c r="B37" i="13" s="1"/>
  <c r="G38" i="12"/>
  <c r="K38" i="12" s="1"/>
  <c r="B38" i="13" s="1"/>
  <c r="K36" i="12"/>
  <c r="B36" i="13" s="1"/>
  <c r="P25" i="11"/>
  <c r="Q25" i="11" s="1"/>
  <c r="U24" i="11"/>
  <c r="AC24" i="11"/>
  <c r="AC25" i="11" s="1"/>
  <c r="W24" i="11"/>
  <c r="AC30" i="11"/>
  <c r="AC31" i="11" s="1"/>
  <c r="G39" i="12" l="1"/>
  <c r="K39" i="12" s="1"/>
  <c r="B39" i="13" s="1"/>
  <c r="R25" i="11"/>
  <c r="G40" i="12" l="1"/>
  <c r="K40" i="12" s="1"/>
  <c r="B40" i="13" s="1"/>
  <c r="S25" i="11"/>
  <c r="T25" i="11" s="1"/>
  <c r="U25" i="11" l="1"/>
  <c r="G41" i="12" l="1"/>
  <c r="V25" i="11"/>
  <c r="G42" i="12" l="1"/>
  <c r="K41" i="12"/>
  <c r="B41" i="13" s="1"/>
  <c r="C46" i="12"/>
  <c r="W25" i="11"/>
  <c r="K42" i="12" l="1"/>
  <c r="B42" i="13" s="1"/>
  <c r="G43" i="12"/>
  <c r="C47" i="12"/>
  <c r="AC18" i="11"/>
  <c r="AC19" i="11" s="1"/>
  <c r="K43" i="12" l="1"/>
  <c r="B43" i="13" s="1"/>
  <c r="G44" i="12"/>
  <c r="C48" i="12"/>
  <c r="G45" i="12" l="1"/>
  <c r="K45" i="12" s="1"/>
  <c r="B45" i="13" s="1"/>
  <c r="K44" i="12"/>
  <c r="B44" i="13" s="1"/>
  <c r="C49" i="12"/>
  <c r="G47" i="12"/>
  <c r="C50" i="12" l="1"/>
  <c r="C51" i="12" s="1"/>
  <c r="G48" i="12"/>
  <c r="K47" i="12"/>
  <c r="B47" i="13" l="1"/>
  <c r="L27" i="11"/>
  <c r="C52" i="12"/>
  <c r="G49" i="12"/>
  <c r="G50" i="12" s="1"/>
  <c r="K48" i="12"/>
  <c r="B48" i="13" s="1"/>
  <c r="C53" i="12" l="1"/>
  <c r="G51" i="12"/>
  <c r="K50" i="12"/>
  <c r="B50" i="13" s="1"/>
  <c r="K49" i="12"/>
  <c r="B49" i="13" s="1"/>
  <c r="C54" i="12" l="1"/>
  <c r="G52" i="12"/>
  <c r="K52" i="12" s="1"/>
  <c r="B52" i="13" s="1"/>
  <c r="K51" i="12"/>
  <c r="B51" i="13" s="1"/>
  <c r="G53" i="12" l="1"/>
  <c r="C55" i="12"/>
  <c r="G46" i="12" l="1"/>
  <c r="G54" i="12"/>
  <c r="K53" i="12"/>
  <c r="B53" i="13" s="1"/>
  <c r="C56" i="12"/>
  <c r="K46" i="12" l="1"/>
  <c r="B46" i="13" s="1"/>
  <c r="G55" i="12"/>
  <c r="K54" i="12"/>
  <c r="B54" i="13" s="1"/>
  <c r="C57" i="12"/>
  <c r="G56" i="12" l="1"/>
  <c r="K55" i="12"/>
  <c r="B55" i="13" s="1"/>
  <c r="C58" i="12"/>
  <c r="G57" i="12" l="1"/>
  <c r="K56" i="12"/>
  <c r="B56" i="13" s="1"/>
  <c r="C59" i="12"/>
  <c r="G58" i="12" l="1"/>
  <c r="K57" i="12"/>
  <c r="B57" i="13" s="1"/>
  <c r="C60" i="12"/>
  <c r="G59" i="12" l="1"/>
  <c r="K58" i="12"/>
  <c r="B58" i="13" s="1"/>
  <c r="C61" i="12"/>
  <c r="G60" i="12" l="1"/>
  <c r="K59" i="12"/>
  <c r="B59" i="13" s="1"/>
  <c r="C62" i="12"/>
  <c r="C63" i="12" l="1"/>
  <c r="C64" i="12" s="1"/>
  <c r="C65" i="12" s="1"/>
  <c r="G61" i="12"/>
  <c r="K60" i="12"/>
  <c r="B60" i="13" l="1"/>
  <c r="L30" i="11"/>
  <c r="G62" i="12"/>
  <c r="K61" i="12"/>
  <c r="B61" i="13" s="1"/>
  <c r="G63" i="12" l="1"/>
  <c r="K62" i="12"/>
  <c r="B62" i="13" s="1"/>
  <c r="I13" i="12"/>
  <c r="K63" i="12" l="1"/>
  <c r="B63" i="13" s="1"/>
  <c r="G64" i="12"/>
  <c r="C66" i="12"/>
  <c r="K64" i="12" l="1"/>
  <c r="B64" i="13" s="1"/>
  <c r="G65" i="12"/>
  <c r="K65" i="12" s="1"/>
  <c r="B65" i="13" s="1"/>
  <c r="C67" i="12" l="1"/>
  <c r="G66" i="12"/>
  <c r="K66" i="12" l="1"/>
  <c r="C68" i="12"/>
  <c r="C69" i="12" s="1"/>
  <c r="B66" i="13" l="1"/>
  <c r="L33" i="11"/>
  <c r="C70" i="12"/>
  <c r="G67" i="12"/>
  <c r="G68" i="12" l="1"/>
  <c r="G69" i="12" s="1"/>
  <c r="K69" i="12" s="1"/>
  <c r="B69" i="13" s="1"/>
  <c r="K67" i="12"/>
  <c r="B67" i="13" s="1"/>
  <c r="G70" i="12" l="1"/>
  <c r="K68" i="12"/>
  <c r="B68" i="13" s="1"/>
  <c r="K70" i="12" l="1"/>
  <c r="B70" i="13" s="1"/>
  <c r="I66" i="12" l="1"/>
  <c r="H66" i="12"/>
  <c r="I60" i="12"/>
  <c r="H60" i="12"/>
  <c r="I47" i="12"/>
  <c r="H47" i="12"/>
  <c r="I28" i="12"/>
  <c r="H28" i="12"/>
  <c r="H13" i="12"/>
  <c r="B13" i="12" s="1"/>
  <c r="H19" i="12"/>
  <c r="I19" i="12"/>
  <c r="B66" i="12" l="1"/>
  <c r="B60" i="12"/>
  <c r="B47" i="12"/>
  <c r="B28" i="12"/>
  <c r="B19" i="12"/>
  <c r="B12" i="12" l="1"/>
  <c r="P22" i="11" l="1"/>
  <c r="AC21" i="11"/>
  <c r="AC22" i="11" s="1"/>
  <c r="Q22" i="11" l="1"/>
  <c r="R22" i="11" s="1"/>
  <c r="S22" i="11" s="1"/>
  <c r="T22" i="11" l="1"/>
  <c r="U22" i="11" l="1"/>
  <c r="V22" i="11" l="1"/>
  <c r="W22" i="11" l="1"/>
  <c r="P31" i="11" l="1"/>
  <c r="Q31" i="11" s="1"/>
  <c r="R31" i="11" l="1"/>
  <c r="S31" i="11" l="1"/>
  <c r="T31" i="11" l="1"/>
  <c r="U31" i="11" l="1"/>
  <c r="V31" i="11" l="1"/>
  <c r="W31" i="11" l="1"/>
  <c r="D65" i="13" l="1"/>
  <c r="C65" i="13" l="1"/>
  <c r="D63" i="13"/>
  <c r="C52" i="13" l="1"/>
  <c r="D52" i="13"/>
  <c r="T19" i="12" l="1"/>
  <c r="U19" i="12" s="1"/>
  <c r="K23" i="11" l="1"/>
  <c r="N21" i="11" s="1"/>
  <c r="AC23" i="11" s="1"/>
  <c r="W23" i="11" l="1"/>
  <c r="V23" i="11"/>
  <c r="Q23" i="11"/>
  <c r="R23" i="11"/>
  <c r="U23" i="11"/>
  <c r="P23" i="11"/>
  <c r="S23" i="11"/>
  <c r="T23" i="11"/>
  <c r="S56" i="12" l="1"/>
  <c r="T56" i="12" s="1"/>
  <c r="X14" i="12"/>
  <c r="X35" i="12"/>
  <c r="X59" i="12"/>
  <c r="X33" i="12"/>
  <c r="X43" i="12"/>
  <c r="X18" i="12"/>
  <c r="X30" i="12"/>
  <c r="X57" i="12"/>
  <c r="X25" i="12"/>
  <c r="X39" i="12"/>
  <c r="X54" i="12"/>
  <c r="X15" i="12"/>
  <c r="X24" i="12"/>
  <c r="X21" i="12"/>
  <c r="X69" i="12"/>
  <c r="X51" i="12"/>
  <c r="X44" i="12"/>
  <c r="X32" i="12"/>
  <c r="X53" i="12"/>
  <c r="X61" i="12"/>
  <c r="X63" i="12"/>
  <c r="X70" i="12"/>
  <c r="X65" i="12"/>
  <c r="X17" i="12"/>
  <c r="X27" i="12"/>
  <c r="X38" i="12"/>
  <c r="X29" i="12"/>
  <c r="X22" i="12"/>
  <c r="X67" i="12"/>
  <c r="X40" i="12"/>
  <c r="X52" i="12"/>
  <c r="X34" i="12"/>
  <c r="X46" i="12"/>
  <c r="X64" i="12"/>
  <c r="X36" i="12"/>
  <c r="X49" i="12"/>
  <c r="X31" i="12"/>
  <c r="X20" i="12"/>
  <c r="X58" i="12"/>
  <c r="X37" i="12"/>
  <c r="X16" i="12"/>
  <c r="X56" i="12"/>
  <c r="X41" i="12"/>
  <c r="X45" i="12"/>
  <c r="X50" i="12"/>
  <c r="X55" i="12"/>
  <c r="X48" i="12"/>
  <c r="X68" i="12"/>
  <c r="X62" i="12"/>
  <c r="X26" i="12"/>
  <c r="X23" i="12"/>
  <c r="X42" i="12"/>
  <c r="U42" i="12" l="1"/>
  <c r="U23" i="12"/>
  <c r="U26" i="12"/>
  <c r="U45" i="12"/>
  <c r="U41" i="12"/>
  <c r="U56" i="12"/>
  <c r="U20" i="12"/>
  <c r="U31" i="12"/>
  <c r="U36" i="12"/>
  <c r="U64" i="12"/>
  <c r="U34" i="12"/>
  <c r="U22" i="12"/>
  <c r="U27" i="12"/>
  <c r="U65" i="12"/>
  <c r="U63" i="12"/>
  <c r="U44" i="12"/>
  <c r="U69" i="12"/>
  <c r="U21" i="12"/>
  <c r="U24" i="12"/>
  <c r="U39" i="12"/>
  <c r="U25" i="12"/>
  <c r="U43" i="12"/>
  <c r="U33" i="12"/>
  <c r="U35" i="12"/>
  <c r="D14" i="13"/>
  <c r="S59" i="12" l="1"/>
  <c r="T59" i="12" s="1"/>
  <c r="U59" i="12" s="1"/>
  <c r="S18" i="12"/>
  <c r="T18" i="12" s="1"/>
  <c r="U18" i="12" s="1"/>
  <c r="S17" i="12"/>
  <c r="T17" i="12" s="1"/>
  <c r="U17" i="12" s="1"/>
  <c r="S52" i="12"/>
  <c r="T52" i="12" s="1"/>
  <c r="U52" i="12" s="1"/>
  <c r="D16" i="13"/>
  <c r="S50" i="12"/>
  <c r="T50" i="12" s="1"/>
  <c r="U50" i="12" s="1"/>
  <c r="S62" i="12"/>
  <c r="T62" i="12" s="1"/>
  <c r="U62" i="12" s="1"/>
  <c r="S30" i="12"/>
  <c r="T30" i="12" s="1"/>
  <c r="U30" i="12" s="1"/>
  <c r="S54" i="12"/>
  <c r="T54" i="12" s="1"/>
  <c r="U54" i="12" s="1"/>
  <c r="S32" i="12"/>
  <c r="T32" i="12" s="1"/>
  <c r="U32" i="12" s="1"/>
  <c r="S70" i="12"/>
  <c r="T70" i="12" s="1"/>
  <c r="U70" i="12" s="1"/>
  <c r="S58" i="12"/>
  <c r="T58" i="12" s="1"/>
  <c r="U58" i="12" s="1"/>
  <c r="S38" i="12"/>
  <c r="T38" i="12" s="1"/>
  <c r="U38" i="12" s="1"/>
  <c r="C67" i="13"/>
  <c r="D46" i="13"/>
  <c r="S49" i="12"/>
  <c r="T49" i="12" s="1"/>
  <c r="U49" i="12" s="1"/>
  <c r="S37" i="12"/>
  <c r="T37" i="12" s="1"/>
  <c r="U37" i="12" s="1"/>
  <c r="S48" i="12"/>
  <c r="T48" i="12" s="1"/>
  <c r="D18" i="13"/>
  <c r="D15" i="13"/>
  <c r="D17" i="13"/>
  <c r="S29" i="12"/>
  <c r="T29" i="12" s="1"/>
  <c r="S40" i="12"/>
  <c r="T40" i="12" s="1"/>
  <c r="U40" i="12" s="1"/>
  <c r="S46" i="12"/>
  <c r="T46" i="12" s="1"/>
  <c r="U46" i="12" s="1"/>
  <c r="S16" i="12"/>
  <c r="T16" i="12" s="1"/>
  <c r="U16" i="12" s="1"/>
  <c r="S68" i="12"/>
  <c r="T68" i="12" s="1"/>
  <c r="U68" i="12" s="1"/>
  <c r="U29" i="12" l="1"/>
  <c r="T28" i="12"/>
  <c r="U48" i="12"/>
  <c r="U28" i="12" l="1"/>
  <c r="K26" i="11"/>
  <c r="N24" i="11" s="1"/>
  <c r="S15" i="12" l="1"/>
  <c r="T15" i="12" s="1"/>
  <c r="U15" i="12" s="1"/>
  <c r="S51" i="12"/>
  <c r="T51" i="12" s="1"/>
  <c r="S53" i="12"/>
  <c r="T53" i="12" s="1"/>
  <c r="U53" i="12" s="1"/>
  <c r="S14" i="12"/>
  <c r="T14" i="12" s="1"/>
  <c r="S67" i="12"/>
  <c r="T67" i="12" s="1"/>
  <c r="S57" i="12"/>
  <c r="T57" i="12" s="1"/>
  <c r="U57" i="12" s="1"/>
  <c r="S61" i="12"/>
  <c r="T61" i="12" s="1"/>
  <c r="T26" i="11"/>
  <c r="W26" i="11"/>
  <c r="R26" i="11"/>
  <c r="Q26" i="11"/>
  <c r="P26" i="11"/>
  <c r="V26" i="11"/>
  <c r="U26" i="11"/>
  <c r="AC26" i="11"/>
  <c r="S26" i="11"/>
  <c r="S55" i="12" l="1"/>
  <c r="T55" i="12" s="1"/>
  <c r="U55" i="12" s="1"/>
  <c r="T60" i="12"/>
  <c r="U61" i="12"/>
  <c r="T13" i="12"/>
  <c r="U14" i="12"/>
  <c r="U51" i="12"/>
  <c r="T66" i="12"/>
  <c r="U67" i="12"/>
  <c r="T47" i="12" l="1"/>
  <c r="U47" i="12" s="1"/>
  <c r="T12" i="12"/>
  <c r="N14" i="11" s="1"/>
  <c r="K20" i="11"/>
  <c r="N18" i="11" s="1"/>
  <c r="U13" i="12"/>
  <c r="U66" i="12"/>
  <c r="K35" i="11"/>
  <c r="N33" i="11" s="1"/>
  <c r="K32" i="11"/>
  <c r="N30" i="11" s="1"/>
  <c r="U60" i="12"/>
  <c r="K29" i="11" l="1"/>
  <c r="N27" i="11" s="1"/>
  <c r="Q29" i="11" s="1"/>
  <c r="P32" i="11"/>
  <c r="S32" i="11"/>
  <c r="W32" i="11"/>
  <c r="T32" i="11"/>
  <c r="AC32" i="11"/>
  <c r="U32" i="11"/>
  <c r="Q32" i="11"/>
  <c r="R32" i="11"/>
  <c r="V32" i="11"/>
  <c r="U35" i="11"/>
  <c r="P35" i="11"/>
  <c r="S35" i="11"/>
  <c r="R35" i="11"/>
  <c r="V35" i="11"/>
  <c r="Q35" i="11"/>
  <c r="W35" i="11"/>
  <c r="AC35" i="11"/>
  <c r="T35" i="11"/>
  <c r="U5" i="12"/>
  <c r="U20" i="11"/>
  <c r="T20" i="11"/>
  <c r="W20" i="11"/>
  <c r="AC20" i="11"/>
  <c r="R20" i="11"/>
  <c r="V20" i="11"/>
  <c r="Q20" i="11"/>
  <c r="P20" i="11"/>
  <c r="S20" i="11"/>
  <c r="AC29" i="11" l="1"/>
  <c r="AC17" i="11" s="1"/>
  <c r="R29" i="11"/>
  <c r="R17" i="11" s="1"/>
  <c r="R16" i="11" s="1"/>
  <c r="S29" i="11"/>
  <c r="S17" i="11" s="1"/>
  <c r="W29" i="11"/>
  <c r="W17" i="11" s="1"/>
  <c r="U29" i="11"/>
  <c r="P29" i="11"/>
  <c r="P17" i="11" s="1"/>
  <c r="V29" i="11"/>
  <c r="V17" i="11" s="1"/>
  <c r="T29" i="11"/>
  <c r="T17" i="11" s="1"/>
  <c r="U17" i="11"/>
  <c r="U16" i="11" s="1"/>
  <c r="Q17" i="11"/>
  <c r="W16" i="11" l="1"/>
  <c r="W15" i="11"/>
  <c r="W14" i="11" s="1"/>
  <c r="Q16" i="11"/>
  <c r="Q15" i="11"/>
  <c r="Q14" i="11" s="1"/>
  <c r="P16" i="11"/>
  <c r="P15" i="11"/>
  <c r="P14" i="11" s="1"/>
  <c r="S15" i="11"/>
  <c r="S14" i="11" s="1"/>
  <c r="S16" i="11"/>
  <c r="T16" i="11"/>
  <c r="T15" i="11"/>
  <c r="T14" i="11" s="1"/>
  <c r="U15" i="11"/>
  <c r="U14" i="11" s="1"/>
  <c r="V16" i="11"/>
  <c r="V15" i="11"/>
  <c r="V14" i="11" s="1"/>
  <c r="AC16" i="11"/>
  <c r="AC15" i="11"/>
  <c r="AC14" i="11" s="1"/>
  <c r="R15" i="11"/>
  <c r="R14" i="11" s="1"/>
  <c r="L8" i="11" l="1"/>
</calcChain>
</file>

<file path=xl/sharedStrings.xml><?xml version="1.0" encoding="utf-8"?>
<sst xmlns="http://schemas.openxmlformats.org/spreadsheetml/2006/main" count="831" uniqueCount="360">
  <si>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</si>
  <si>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</si>
  <si>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</si>
  <si>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</si>
  <si>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</si>
  <si>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</si>
  <si>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</si>
  <si>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</si>
  <si>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</si>
  <si>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</si>
  <si>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</si>
  <si>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</si>
  <si>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</si>
  <si>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</si>
  <si>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</si>
  <si>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</si>
  <si>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</si>
  <si>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</si>
  <si>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</si>
  <si>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</si>
  <si>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</si>
  <si>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</si>
  <si>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</si>
  <si>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</si>
  <si>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</si>
  <si>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</si>
  <si>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</si>
  <si>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</si>
  <si>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</si>
  <si>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</si>
  <si>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</si>
  <si>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</si>
  <si>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</si>
  <si>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</si>
  <si>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</si>
  <si>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</si>
  <si>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</si>
  <si>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</si>
  <si>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</si>
  <si>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</si>
  <si>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</si>
  <si>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</si>
  <si>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</si>
  <si>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</si>
  <si>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</si>
  <si>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</si>
  <si>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</si>
  <si>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</si>
  <si>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</si>
  <si>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</si>
  <si>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</si>
  <si>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</si>
  <si>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</si>
  <si>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</si>
  <si>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</si>
  <si>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</si>
  <si>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</si>
  <si>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</si>
  <si>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</si>
  <si>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</si>
  <si>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</si>
  <si>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</si>
  <si>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</si>
  <si>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</si>
  <si>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</si>
  <si>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</si>
  <si>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</si>
  <si>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</si>
  <si>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</si>
  <si>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</si>
  <si>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</si>
  <si>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</si>
  <si>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</si>
  <si>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</si>
  <si>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</si>
  <si>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</si>
  <si>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</si>
  <si>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</si>
  <si>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</si>
  <si>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</si>
  <si>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</si>
  <si>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</si>
  <si>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</si>
  <si>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</si>
  <si>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</si>
  <si>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</si>
  <si>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</si>
  <si>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</si>
  <si>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</si>
  <si>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</si>
  <si>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</si>
  <si>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</si>
  <si>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</si>
  <si>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</si>
  <si>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</si>
  <si>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</si>
  <si>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</si>
  <si>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</si>
  <si>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</si>
  <si>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</si>
  <si>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</si>
  <si>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</si>
  <si>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</si>
  <si>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</si>
  <si>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</si>
  <si>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</si>
  <si>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</si>
  <si>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</si>
  <si>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</si>
  <si>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</si>
  <si>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</si>
  <si>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</si>
  <si>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</si>
  <si>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</si>
  <si>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</si>
  <si>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</si>
  <si>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</si>
  <si>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</si>
  <si>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</si>
  <si>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</si>
  <si>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</si>
  <si>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</si>
  <si>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</si>
  <si>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</si>
  <si>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</si>
  <si>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</si>
  <si>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</si>
  <si>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</si>
  <si>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</si>
  <si>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</si>
  <si>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</si>
  <si>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</si>
  <si>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</si>
  <si>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</si>
  <si>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</si>
  <si>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</si>
  <si>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</si>
  <si>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</si>
  <si>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</si>
  <si>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</si>
  <si>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</si>
  <si>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</si>
  <si>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</si>
  <si>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</si>
  <si>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</si>
  <si>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</si>
  <si>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</si>
  <si>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</si>
  <si>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</si>
  <si>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</si>
  <si>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</si>
  <si>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</si>
  <si>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</si>
  <si>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</si>
  <si>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</si>
  <si>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</si>
  <si>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</si>
  <si>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</si>
  <si>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</si>
  <si>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</si>
  <si>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</si>
  <si>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</si>
  <si>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</si>
  <si>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</si>
  <si>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</si>
  <si>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</si>
  <si>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</si>
  <si>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</si>
  <si>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</si>
  <si>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</si>
  <si>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</si>
  <si>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</si>
  <si>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</si>
  <si>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</si>
  <si>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</si>
  <si>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</si>
  <si>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</si>
  <si>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</si>
  <si>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</si>
  <si>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</si>
  <si>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</si>
  <si>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</si>
  <si>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</si>
  <si>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</si>
  <si>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</si>
  <si>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</si>
  <si>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</si>
  <si>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</si>
  <si>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</si>
  <si>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</si>
  <si>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</si>
  <si>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</si>
  <si>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</si>
  <si>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</si>
  <si>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</si>
  <si>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</si>
  <si>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</si>
  <si>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</si>
  <si>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</si>
  <si>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</si>
  <si>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</si>
  <si>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</si>
  <si>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</si>
  <si>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</si>
  <si>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</si>
  <si>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</si>
  <si>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</si>
  <si>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</si>
  <si>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</si>
  <si>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</si>
  <si>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</si>
  <si>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</si>
  <si>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</si>
  <si>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</si>
  <si>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</si>
  <si>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</si>
  <si>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</si>
  <si>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</si>
  <si>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</si>
  <si>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</si>
  <si>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</si>
  <si>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</si>
  <si>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</si>
  <si>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</si>
  <si>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</si>
  <si>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</si>
  <si>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</si>
  <si>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</si>
  <si>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</si>
  <si>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</si>
  <si>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</si>
  <si>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</si>
  <si>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SERVIÇO INICIAIS</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</si>
  <si>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</si>
  <si>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</si>
  <si>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</si>
  <si>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TERRAPLENAGEM</t>
  </si>
  <si>
    <t>SINAPI</t>
  </si>
  <si>
    <t>SICRO</t>
  </si>
  <si>
    <t>DRENAGEM</t>
  </si>
  <si>
    <t>PM BENTO</t>
  </si>
  <si>
    <t>M</t>
  </si>
  <si>
    <t>2003305</t>
  </si>
  <si>
    <t>100576</t>
  </si>
  <si>
    <t>96396</t>
  </si>
  <si>
    <t>SINALIZAÇÃO</t>
  </si>
  <si>
    <t>02</t>
  </si>
  <si>
    <t>98525</t>
  </si>
  <si>
    <t>01</t>
  </si>
  <si>
    <t>92214</t>
  </si>
  <si>
    <t>2003311</t>
  </si>
  <si>
    <t>UNID</t>
  </si>
  <si>
    <t>05</t>
  </si>
  <si>
    <t>OBRAS COMPLEMENTARES</t>
  </si>
  <si>
    <t>102512</t>
  </si>
  <si>
    <t xml:space="preserve">DISTRITO DE FARIA LEMOS </t>
  </si>
  <si>
    <t>09</t>
  </si>
  <si>
    <t>102355</t>
  </si>
  <si>
    <t>10</t>
  </si>
  <si>
    <t>94296</t>
  </si>
  <si>
    <t>102314</t>
  </si>
  <si>
    <t>0705427</t>
  </si>
  <si>
    <t>99064</t>
  </si>
  <si>
    <t>95875</t>
  </si>
  <si>
    <t>001</t>
  </si>
  <si>
    <t>14</t>
  </si>
  <si>
    <t>002</t>
  </si>
  <si>
    <t>15</t>
  </si>
  <si>
    <t>41899</t>
  </si>
  <si>
    <t>16</t>
  </si>
  <si>
    <t xml:space="preserve">PAVIMENTAÇÃO  </t>
  </si>
  <si>
    <t>5219621</t>
  </si>
  <si>
    <t>3713603</t>
  </si>
  <si>
    <t>3713602</t>
  </si>
  <si>
    <t>COTAÇÃO</t>
  </si>
  <si>
    <t>SINAPI-I</t>
  </si>
  <si>
    <t>101194</t>
  </si>
  <si>
    <t>103946</t>
  </si>
  <si>
    <t>100952</t>
  </si>
  <si>
    <t>TRANSPORTE COM CAMINHÃO CARROCERIA COM GUINDAUTO (MUNCK), ATÉ 30kM, CONSIDERANDO 6,3 TON POR ADUELA</t>
  </si>
  <si>
    <t>95241</t>
  </si>
  <si>
    <t>PAVIMENTAÇÃO ESTRADA VALE AURORA - TRECHO 5</t>
  </si>
  <si>
    <t>PAVIMENTAÇÃO ESTRADA VALE AURORA - TRECHO 5 - LIGAÇÃO FARIA LEMOS AO VALE DOS VINHEDOS</t>
  </si>
  <si>
    <t>2003519</t>
  </si>
  <si>
    <t>CAIXA COLETORA DE SARJETA-CCS 02-COM GRELHA DE FERRO</t>
  </si>
  <si>
    <t>PLACA DE OBRA EM CHAPA DE ACO GALVANIZADO</t>
  </si>
  <si>
    <t xml:space="preserve">M2    </t>
  </si>
  <si>
    <t>SINALIZACAO DE TRANSITO PARA OBRA - INCLUSO SINALIZAÇÃO NOTURNA</t>
  </si>
  <si>
    <t>LIMPEZA MECANIZADA DE CAMADA VEGETAL, VEGETAÇÃO E PEQUENAS ÁRVORES (DIÂMETRO DE TRONCO MENOR QUE 0,20 M), COM TRATOR DE ESTEIRAS.AF_05/2018</t>
  </si>
  <si>
    <t>M2</t>
  </si>
  <si>
    <t>ENGENHEIRO CIVIL DE OBRA PLENO COM ENCARGOS COMPLEMENTARES</t>
  </si>
  <si>
    <t>TOPOGRAFO COM ENCARGOS COMPLEMENTARES</t>
  </si>
  <si>
    <t>M3</t>
  </si>
  <si>
    <t>REGULARIZAÇÃO E COMPACTAÇÃO DE SUBLEITO DE SOLO  PREDOMINANTEMENTE ARGILOSO. AF_11/2019</t>
  </si>
  <si>
    <t>ESCAVAÇÃO MECANIZADA DE VALA COM PROF. ATÉ 1,5 M (MÉDIA MONTANTE E JUSANTE/UMA COMPOSIÇÃO POR TRECHO),COM ESCAVADEIRA (0,8 M3), LARG. MENOR QUE 1,5 M, EM SOLO DE 2A CATEGORIA, LOCAIS COM BAIXO NÍVEL DE INTERFERÊNCIA. AF_02/2021</t>
  </si>
  <si>
    <t>DESMONTE DE MATERIAL DE 3ª CATEGORIA (BLOCOS DE ROCHAS OU MATACOS), EM VALA, COM MARTELETE PNEUMÁTICO MANUAL   EXCLUSIVE RETIRADA, CARGA E TRANSPORTE. AF_03/2021</t>
  </si>
  <si>
    <t>TUBO DE CONCRETO PARA REDES COLETORAS DE ÁGUAS PLUVIAIS, DIÂMETRO DE 800 MM, JUNTA RÍGIDA, INSTALADO EM LOCAL COM BAIXO NÍVEL DE INTERFERÊNCIAS - FORNECIMENTO E ASSENTAMENTO. AF_12/2015</t>
  </si>
  <si>
    <t>LASTRO DE CONCRETO MAGRO, APLICADO EM PISOS, LAJES SOBRE SOLO OU RADIERS, ESPESSURA DE 5 CM. AF_07/2016</t>
  </si>
  <si>
    <t>LOCAÇÃO DE PAVIMENTAÇÃO. AF_10/2018</t>
  </si>
  <si>
    <t>EXECUÇÃO E COMPACTAÇÃO DE BASE E OU SUB BASE PARA PAVIMENTAÇÃO DE BRITA GRADUADA SIMPLES - EXCLUSIVE CARGA E TRANSPORTE. AF_11/2019</t>
  </si>
  <si>
    <t>TRANSPORTE COM CAMINHÃO BASCULANTE DE 10 M³, EM VIA URBANA PAVIMENTADA, DMT ATÉ 30 KM (UNIDADE: M3XKM). AF_07/2020</t>
  </si>
  <si>
    <t>M3XKM</t>
  </si>
  <si>
    <t>EXECUÇÃO DE IMPRIMAÇÃO COM ASFALTO DILUÍDO CM-30 - EXCLUSIVE ASFALTO DILUIDO</t>
  </si>
  <si>
    <t>T</t>
  </si>
  <si>
    <t>EXECUÇÃO DE PINTURA DE LIGAÇÃO COM EMULSÃO ASFÁLTICA RR-2C - EXCLUSIVE EMULSÃO RR-2C</t>
  </si>
  <si>
    <t>EMULSÃO ASFÁLTICA RR-2C (COM BDI 15%)</t>
  </si>
  <si>
    <t xml:space="preserve">EXECUÇÃO DE PAVIMENTO COM APLICAÇÃO DE CONCRETO ASFÁLTICO, CAMADA DE ROLAMENTO - EXCLUSIVE CAP 50/70, CARGA E TRANSPORTE. </t>
  </si>
  <si>
    <t xml:space="preserve">CIMENTO ASFALTICO DE PETROLEO A GRANEL (CAP) 50/70 (COLETADO CAIXA NA ANP ACRESCIDO DE ICMS)                                                                                                                                                                                                                                                                                                                                                                                                              </t>
  </si>
  <si>
    <t xml:space="preserve">T     </t>
  </si>
  <si>
    <t>PAVIMENTO COM TRATAMENTO SUPERFICIAL SIMPLES, COM EMULSÃO ASFÁLTICA RR-2C - EXCLUSIVE RR-2C</t>
  </si>
  <si>
    <t xml:space="preserve">FORNECIMENTO E INSTALAÇÃO DE PLACAS SEMIREFLETIVAS DE REGULAMENTAÇÃO OU ADVERTÊNCIA COM SUPORTE METÁLICO </t>
  </si>
  <si>
    <t>PINTURA DE EIXO VIÁRIO SOBRE ASFALTO COM TINTA RETRORREFLETIVA A BASE DE RESINA ACRÍLICA COM MICROESFERAS DE VIDRO, APLICAÇÃO MECÂNICA COM DEMARCADORA AUTOPROPELIDA. AF_05/2021</t>
  </si>
  <si>
    <t>PLANTIO DE GRAMA ESMERALDA OU SÃO CARLOS OU CURITIBANA, EM PLACAS. AF_05/2022</t>
  </si>
  <si>
    <t>VALETA DE PROTEÇÃO DE ATERROS COM REVESTIMENTO VEGETAL - VPA 02 - ESCAVAÇÃO MECÂNICA</t>
  </si>
  <si>
    <t>0804101</t>
  </si>
  <si>
    <t>CORPO DE BTCC 3,00 X 3,00 m - MOLDADO NO LOCAL - ALTURA DO ATERRO 0,00 A 1,00 m - AREIA E BRITA COMERCIAIS</t>
  </si>
  <si>
    <t>BOCA DE BTCC 3,00 X 3,00 m - ESCONSIDADE 0° - AREIA E BRITA COMERCIAIS</t>
  </si>
  <si>
    <t>VALETA DE DE PROTEÇÃO DE CORTES COM REVESTIMENTO VEGETAL - VPC 02 - ESCAVAÇÃO MECÂNICA</t>
  </si>
  <si>
    <t>SARJETA TRAPEZOIDAL DE GRAMA - SZG 02 - ESCAVAÇÃO MECÂNICA</t>
  </si>
  <si>
    <t>2003347</t>
  </si>
  <si>
    <t>DRENO LONGITUDINAL PROFUNDO PARA CORTE EM SOLO - DPS 05 - DRENO CEGO - BRITA COMERCIAL</t>
  </si>
  <si>
    <t>BOCA DE SAÍDA PARA DRENO LONGITUDINAL PROFUNDO - BSD 02 - TUBO DE CONCRETO PERFURADO - AREIA E BRITA COMERCIAIS</t>
  </si>
  <si>
    <t>2003601</t>
  </si>
  <si>
    <t>2003565</t>
  </si>
  <si>
    <t>SARJETA TRAPEZOIDAL DE CONCRETO - SZC 02 MOLDADA NO LOCAL COM ESXTRUSORA E CONCRETO USINADO - ESCAVAÇÃO MECÂNICA - AREIA E BRITA COMERCIAIS</t>
  </si>
  <si>
    <t>2003973</t>
  </si>
  <si>
    <t>TACHA REFLETIVA EM RESINA SINTÉTICA - BIDIRECIONAL TIPO II - COM UM PINO - FORNECIMENTO E COLOCAÇÃO</t>
  </si>
  <si>
    <t>ANCORAGEM DE DEFENSA MALEÁVEL DUPLA - FORNECIMENTO E IMPLANTAÇÃO</t>
  </si>
  <si>
    <t>DEFENSA MALEÁVEL DUPLA - FORNECIMENTO E IMPLANTAÇÃO</t>
  </si>
  <si>
    <t>2003359</t>
  </si>
  <si>
    <t>TRANSPOSIÇÃO DE SEGMENTOS DE SARJETA - TSS 02 - TUBO 400MM - AREIA E BRITA COMERCIAIS</t>
  </si>
  <si>
    <t>ASFALTO DILUIDO CM-30 (COM DBI 15%)</t>
  </si>
  <si>
    <t>97111</t>
  </si>
  <si>
    <t>EXECUÇÃO DE PAVIMENTO DE CONCRETO ARMADO (PCA), FCK = 30 MPA, ESPESSURA DE 15,0 CM. AF_04/2022</t>
  </si>
  <si>
    <t>DESMONTE DE BLOCOS DE ROCHA COM MARTELETE PNEUMÁTICO</t>
  </si>
  <si>
    <t>5500991</t>
  </si>
  <si>
    <t>ESPALHAMENTO DE MATERIAL EM BOTA-FORA</t>
  </si>
  <si>
    <t>4413942</t>
  </si>
  <si>
    <t>5502978</t>
  </si>
  <si>
    <t>5503041</t>
  </si>
  <si>
    <t>COMPACTAÇÃO DE ATERROS A 100% DO PROCTOR INTERMEDIÁRI0</t>
  </si>
  <si>
    <t>COMPACTAÇÃO DE CAMADA FINAL DE ATERRO DE ROCHA</t>
  </si>
  <si>
    <t>5502822</t>
  </si>
  <si>
    <t>COMPACTAÇÃO DE ATERROS A 100% DO PROCTOR NORMAL</t>
  </si>
  <si>
    <t>ESCAVAÇÃO, CARGA E TRANSPORTE DE MATERIAL DE 1ª CATEGORIA - DMT DE 1.000 A 1.200 M - CAMINHO DE SERVIÇO EM LEITO NATURAL - COM ESCAVADEIRA E CAMINHÃO BASCULANTE DE 14 M3</t>
  </si>
  <si>
    <t>5502114</t>
  </si>
  <si>
    <t>ESCAVAÇÃO, CARGA E TRANSPORTE DE MATERIAL DE 2ª CATEGORIA - DMT DE 1.000 A 1.200 M - CAMINHO DE SERVIÇO EM LEITO NATURAL - COM ESCAVADEIRA E CAMINHÃO BASCULANTE DE 14 M3</t>
  </si>
  <si>
    <t>5502590</t>
  </si>
  <si>
    <t>ESCAVAÇÃO, CARGA E TRANSPORTE DE MATERIAL DE 3ª CATEGORIA - DMT DE 1.000 A 1.200 M - CAMINHO DE SERVIÇO EM LEITO NATURAL COM CAMINHÃO BASCULANTE DE 12 M3</t>
  </si>
  <si>
    <t>5502747</t>
  </si>
  <si>
    <t>90778</t>
  </si>
  <si>
    <t>0705387</t>
  </si>
  <si>
    <t>RECONSTRUÇÃO DE CERCAS, PARREIRAS OU OUTRAS INTERVENÇÕES</t>
  </si>
  <si>
    <t>4413905</t>
  </si>
  <si>
    <t>HIDROSSEMEADURA EM ENCOSTAS ESCAVADAS</t>
  </si>
  <si>
    <t>BOCA DE BSTC D= 0,80 m - ESCONSIDADE 0° - AREIA E BRITA COMERCIAIS - ALAS RETAS</t>
  </si>
  <si>
    <t>REMOÇÃO DE CERCAS, PARREIRAS OU OUTRAS INTERVENÇÕES EXISTENTES</t>
  </si>
  <si>
    <t>H</t>
  </si>
  <si>
    <t>MES</t>
  </si>
  <si>
    <t>TXKM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</si>
</sst>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420">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10.emf"/><Relationship Id="rId1" Type="http://schemas.openxmlformats.org/officeDocument/2006/relationships/image" Target="../media/image1.emf"/><Relationship Id="rId5" Type="http://schemas.openxmlformats.org/officeDocument/2006/relationships/image" Target="../media/image4.emf"/><Relationship Id="rId4" Type="http://schemas.openxmlformats.org/officeDocument/2006/relationships/image" Target="../media/image11.emf"/></Relationships>
</file>

<file path=xl/drawings/_rels/drawing5.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14.emf"/><Relationship Id="rId1" Type="http://schemas.openxmlformats.org/officeDocument/2006/relationships/image" Target="../media/image1.emf"/><Relationship Id="rId6" Type="http://schemas.openxmlformats.org/officeDocument/2006/relationships/image" Target="../media/image11.emf"/><Relationship Id="rId5" Type="http://schemas.openxmlformats.org/officeDocument/2006/relationships/image" Target="../media/image4.emf"/><Relationship Id="rId4" Type="http://schemas.openxmlformats.org/officeDocument/2006/relationships/image" Target="../media/image1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8.emf"/><Relationship Id="rId1" Type="http://schemas.openxmlformats.org/officeDocument/2006/relationships/image" Target="../media/image12.emf"/><Relationship Id="rId4"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8.emf"/><Relationship Id="rId1" Type="http://schemas.openxmlformats.org/officeDocument/2006/relationships/image" Target="../media/image16.emf"/><Relationship Id="rId5" Type="http://schemas.openxmlformats.org/officeDocument/2006/relationships/image" Target="../media/image13.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28"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222411"/>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28575" y="19050"/>
          <a:ext cx="1790700" cy="38100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5" name="SigiloPic">
              <a:extLst>
                <a:ext uri="{FF2B5EF4-FFF2-40B4-BE49-F238E27FC236}">
                  <a16:creationId xmlns:a16="http://schemas.microsoft.com/office/drawing/2014/main" id="{00000000-0008-0000-0100-0000B4600200}"/>
                </a:ext>
              </a:extLst>
            </xdr:cNvPr>
            <xdr:cNvPicPr>
              <a:picLocks noChangeArrowheads="1"/>
              <a:extLst>
                <a:ext uri="{84589F7E-364E-4C9E-8A38-B11213B215E9}">
                  <a14:cameraTool cellRange="PO!$T$1:$T$2" spid="_x0000_s216626"/>
                </a:ext>
              </a:extLst>
            </xdr:cNvPicPr>
          </xdr:nvPicPr>
          <xdr:blipFill>
            <a:blip xmlns:r="http://schemas.openxmlformats.org/officeDocument/2006/relationships" r:embed="rId2"/>
            <a:srcRect/>
            <a:stretch>
              <a:fillRect/>
            </a:stretch>
          </xdr:blipFill>
          <xdr:spPr bwMode="auto">
            <a:xfrm>
              <a:off x="6172200" y="28575"/>
              <a:ext cx="1047750" cy="3333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2" name="Picture 482">
              <a:extLst>
                <a:ext uri="{FF2B5EF4-FFF2-40B4-BE49-F238E27FC236}">
                  <a16:creationId xmlns:a16="http://schemas.microsoft.com/office/drawing/2014/main" id="{00000000-0008-0000-0200-00009A050300}"/>
                </a:ext>
              </a:extLst>
            </xdr:cNvPr>
            <xdr:cNvPicPr>
              <a:picLocks noChangeArrowheads="1"/>
              <a:extLst>
                <a:ext uri="{84589F7E-364E-4C9E-8A38-B11213B215E9}">
                  <a14:cameraTool cellRange="DADOS!$A$220:$X$230" spid="_x0000_s198400"/>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81</xdr:row>
          <xdr:rowOff>0</xdr:rowOff>
        </xdr:from>
        <xdr:to>
          <xdr:col>19</xdr:col>
          <xdr:colOff>123825</xdr:colOff>
          <xdr:row>85</xdr:row>
          <xdr:rowOff>142875</xdr:rowOff>
        </xdr:to>
        <xdr:pic>
          <xdr:nvPicPr>
            <xdr:cNvPr id="198043" name="Picture 483">
              <a:extLst>
                <a:ext uri="{FF2B5EF4-FFF2-40B4-BE49-F238E27FC236}">
                  <a16:creationId xmlns:a16="http://schemas.microsoft.com/office/drawing/2014/main" id="{00000000-0008-0000-0200-00009B050300}"/>
                </a:ext>
              </a:extLst>
            </xdr:cNvPr>
            <xdr:cNvPicPr>
              <a:picLocks noChangeArrowheads="1"/>
              <a:extLst>
                <a:ext uri="{84589F7E-364E-4C9E-8A38-B11213B215E9}">
                  <a14:cameraTool cellRange="DADOS!$A$53:$K$57" spid="_x0000_s198401"/>
                </a:ext>
              </a:extLst>
            </xdr:cNvPicPr>
          </xdr:nvPicPr>
          <xdr:blipFill>
            <a:blip xmlns:r="http://schemas.openxmlformats.org/officeDocument/2006/relationships" r:embed="rId3"/>
            <a:srcRect/>
            <a:stretch>
              <a:fillRect/>
            </a:stretch>
          </xdr:blipFill>
          <xdr:spPr bwMode="auto">
            <a:xfrm>
              <a:off x="7210425" y="133826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53" name="PIC1">
              <a:extLst>
                <a:ext uri="{FF2B5EF4-FFF2-40B4-BE49-F238E27FC236}">
                  <a16:creationId xmlns:a16="http://schemas.microsoft.com/office/drawing/2014/main" id="{00000000-0008-0000-0300-0000C57E0000}"/>
                </a:ext>
              </a:extLst>
            </xdr:cNvPr>
            <xdr:cNvPicPr>
              <a:picLocks noChangeArrowheads="1"/>
              <a:extLst>
                <a:ext uri="{84589F7E-364E-4C9E-8A38-B11213B215E9}">
                  <a14:cameraTool cellRange="DADOS!$A$220:$X$230" spid="_x0000_s227761"/>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54" name="PIC2">
              <a:extLst>
                <a:ext uri="{FF2B5EF4-FFF2-40B4-BE49-F238E27FC236}">
                  <a16:creationId xmlns:a16="http://schemas.microsoft.com/office/drawing/2014/main" id="{00000000-0008-0000-0300-0000C67E0000}"/>
                </a:ext>
              </a:extLst>
            </xdr:cNvPr>
            <xdr:cNvPicPr>
              <a:picLocks noChangeArrowheads="1"/>
              <a:extLst>
                <a:ext uri="{84589F7E-364E-4C9E-8A38-B11213B215E9}">
                  <a14:cameraTool cellRange="DADOS!$A$220:$X$230" spid="_x0000_s227762"/>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72</xdr:row>
          <xdr:rowOff>9525</xdr:rowOff>
        </xdr:from>
        <xdr:to>
          <xdr:col>14</xdr:col>
          <xdr:colOff>28575</xdr:colOff>
          <xdr:row>76</xdr:row>
          <xdr:rowOff>152400</xdr:rowOff>
        </xdr:to>
        <xdr:pic>
          <xdr:nvPicPr>
            <xdr:cNvPr id="32455" name="Picture 483">
              <a:extLst>
                <a:ext uri="{FF2B5EF4-FFF2-40B4-BE49-F238E27FC236}">
                  <a16:creationId xmlns:a16="http://schemas.microsoft.com/office/drawing/2014/main" id="{00000000-0008-0000-0300-0000C77E0000}"/>
                </a:ext>
              </a:extLst>
            </xdr:cNvPr>
            <xdr:cNvPicPr>
              <a:picLocks noChangeArrowheads="1"/>
              <a:extLst>
                <a:ext uri="{84589F7E-364E-4C9E-8A38-B11213B215E9}">
                  <a14:cameraTool cellRange="DADOS!$A$53:$K$57" spid="_x0000_s227763"/>
                </a:ext>
              </a:extLst>
            </xdr:cNvPicPr>
          </xdr:nvPicPr>
          <xdr:blipFill>
            <a:blip xmlns:r="http://schemas.openxmlformats.org/officeDocument/2006/relationships" r:embed="rId4"/>
            <a:srcRect/>
            <a:stretch>
              <a:fillRect/>
            </a:stretch>
          </xdr:blipFill>
          <xdr:spPr bwMode="auto">
            <a:xfrm>
              <a:off x="7667625" y="15268575"/>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56" name="SigiloPic">
              <a:extLst>
                <a:ext uri="{FF2B5EF4-FFF2-40B4-BE49-F238E27FC236}">
                  <a16:creationId xmlns:a16="http://schemas.microsoft.com/office/drawing/2014/main" id="{00000000-0008-0000-0300-0000C87E0000}"/>
                </a:ext>
              </a:extLst>
            </xdr:cNvPr>
            <xdr:cNvPicPr>
              <a:picLocks noChangeArrowheads="1"/>
              <a:extLst>
                <a:ext uri="{84589F7E-364E-4C9E-8A38-B11213B215E9}">
                  <a14:cameraTool cellRange="PO!$T$1:$T$2" spid="_x0000_s227764"/>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59" name="PIC2">
              <a:extLst>
                <a:ext uri="{FF2B5EF4-FFF2-40B4-BE49-F238E27FC236}">
                  <a16:creationId xmlns:a16="http://schemas.microsoft.com/office/drawing/2014/main" id="{00000000-0008-0000-0400-0000AF150300}"/>
                </a:ext>
              </a:extLst>
            </xdr:cNvPr>
            <xdr:cNvPicPr>
              <a:picLocks noChangeArrowheads="1"/>
              <a:extLst>
                <a:ext uri="{84589F7E-364E-4C9E-8A38-B11213B215E9}">
                  <a14:cameraTool cellRange="DADOS!$A$220:$X$230" spid="_x0000_s230377"/>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60" name="PIC1">
              <a:extLst>
                <a:ext uri="{FF2B5EF4-FFF2-40B4-BE49-F238E27FC236}">
                  <a16:creationId xmlns:a16="http://schemas.microsoft.com/office/drawing/2014/main" id="{00000000-0008-0000-0400-0000B0150300}"/>
                </a:ext>
              </a:extLst>
            </xdr:cNvPr>
            <xdr:cNvPicPr>
              <a:picLocks noChangeArrowheads="1"/>
              <a:extLst>
                <a:ext uri="{84589F7E-364E-4C9E-8A38-B11213B215E9}">
                  <a14:cameraTool cellRange="DADOS!$A$220:$X$230" spid="_x0000_s230378"/>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37</xdr:row>
          <xdr:rowOff>0</xdr:rowOff>
        </xdr:from>
        <xdr:to>
          <xdr:col>22</xdr:col>
          <xdr:colOff>28575</xdr:colOff>
          <xdr:row>41</xdr:row>
          <xdr:rowOff>142875</xdr:rowOff>
        </xdr:to>
        <xdr:pic>
          <xdr:nvPicPr>
            <xdr:cNvPr id="202161" name="Picture 483">
              <a:extLst>
                <a:ext uri="{FF2B5EF4-FFF2-40B4-BE49-F238E27FC236}">
                  <a16:creationId xmlns:a16="http://schemas.microsoft.com/office/drawing/2014/main" id="{00000000-0008-0000-0400-0000B1150300}"/>
                </a:ext>
              </a:extLst>
            </xdr:cNvPr>
            <xdr:cNvPicPr>
              <a:picLocks noChangeArrowheads="1"/>
              <a:extLst>
                <a:ext uri="{84589F7E-364E-4C9E-8A38-B11213B215E9}">
                  <a14:cameraTool cellRange="DADOS!$A$53:$K$57" spid="_x0000_s230379"/>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62" name="SigiloPic">
              <a:extLst>
                <a:ext uri="{FF2B5EF4-FFF2-40B4-BE49-F238E27FC236}">
                  <a16:creationId xmlns:a16="http://schemas.microsoft.com/office/drawing/2014/main" id="{00000000-0008-0000-0400-0000B2150300}"/>
                </a:ext>
              </a:extLst>
            </xdr:cNvPr>
            <xdr:cNvPicPr>
              <a:picLocks noChangeArrowheads="1"/>
              <a:extLst>
                <a:ext uri="{84589F7E-364E-4C9E-8A38-B11213B215E9}">
                  <a14:cameraTool cellRange="PO!$T$1:$T$2" spid="_x0000_s230380"/>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142875</xdr:rowOff>
        </xdr:to>
        <xdr:pic>
          <xdr:nvPicPr>
            <xdr:cNvPr id="202163" name="Picture 2483">
              <a:extLst>
                <a:ext uri="{FF2B5EF4-FFF2-40B4-BE49-F238E27FC236}">
                  <a16:creationId xmlns:a16="http://schemas.microsoft.com/office/drawing/2014/main" id="{00000000-0008-0000-0400-0000B3150300}"/>
                </a:ext>
              </a:extLst>
            </xdr:cNvPr>
            <xdr:cNvPicPr>
              <a:picLocks noChangeArrowheads="1"/>
              <a:extLst>
                <a:ext uri="{84589F7E-364E-4C9E-8A38-B11213B215E9}">
                  <a14:cameraTool cellRange="DADOS!$A$53:$K$57" spid="_x0000_s230381"/>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4" name="Picture 2484">
              <a:extLst>
                <a:ext uri="{FF2B5EF4-FFF2-40B4-BE49-F238E27FC236}">
                  <a16:creationId xmlns:a16="http://schemas.microsoft.com/office/drawing/2014/main" id="{00000000-0008-0000-0400-0000B4150300}"/>
                </a:ext>
              </a:extLst>
            </xdr:cNvPr>
            <xdr:cNvPicPr>
              <a:picLocks noChangeArrowheads="1"/>
              <a:extLst>
                <a:ext uri="{84589F7E-364E-4C9E-8A38-B11213B215E9}">
                  <a14:cameraTool cellRange="PO!$T$1:$T$2" spid="_x0000_s23038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142875</xdr:rowOff>
        </xdr:to>
        <xdr:pic>
          <xdr:nvPicPr>
            <xdr:cNvPr id="202165" name="Picture 2485">
              <a:extLst>
                <a:ext uri="{FF2B5EF4-FFF2-40B4-BE49-F238E27FC236}">
                  <a16:creationId xmlns:a16="http://schemas.microsoft.com/office/drawing/2014/main" id="{00000000-0008-0000-0400-0000B5150300}"/>
                </a:ext>
              </a:extLst>
            </xdr:cNvPr>
            <xdr:cNvPicPr>
              <a:picLocks noChangeArrowheads="1"/>
              <a:extLst>
                <a:ext uri="{84589F7E-364E-4C9E-8A38-B11213B215E9}">
                  <a14:cameraTool cellRange="DADOS!$A$53:$K$57" spid="_x0000_s230383"/>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6" name="Picture 2486">
              <a:extLst>
                <a:ext uri="{FF2B5EF4-FFF2-40B4-BE49-F238E27FC236}">
                  <a16:creationId xmlns:a16="http://schemas.microsoft.com/office/drawing/2014/main" id="{00000000-0008-0000-0400-0000B6150300}"/>
                </a:ext>
              </a:extLst>
            </xdr:cNvPr>
            <xdr:cNvPicPr>
              <a:picLocks noChangeArrowheads="1"/>
              <a:extLst>
                <a:ext uri="{84589F7E-364E-4C9E-8A38-B11213B215E9}">
                  <a14:cameraTool cellRange="PO!$T$1:$T$2" spid="_x0000_s23038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142875</xdr:rowOff>
        </xdr:to>
        <xdr:pic>
          <xdr:nvPicPr>
            <xdr:cNvPr id="202167" name="Picture 2487">
              <a:extLst>
                <a:ext uri="{FF2B5EF4-FFF2-40B4-BE49-F238E27FC236}">
                  <a16:creationId xmlns:a16="http://schemas.microsoft.com/office/drawing/2014/main" id="{00000000-0008-0000-0400-0000B7150300}"/>
                </a:ext>
              </a:extLst>
            </xdr:cNvPr>
            <xdr:cNvPicPr>
              <a:picLocks noChangeArrowheads="1"/>
              <a:extLst>
                <a:ext uri="{84589F7E-364E-4C9E-8A38-B11213B215E9}">
                  <a14:cameraTool cellRange="DADOS!$A$53:$K$57" spid="_x0000_s23038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68" name="Picture 2488">
              <a:extLst>
                <a:ext uri="{FF2B5EF4-FFF2-40B4-BE49-F238E27FC236}">
                  <a16:creationId xmlns:a16="http://schemas.microsoft.com/office/drawing/2014/main" id="{00000000-0008-0000-0400-0000B8150300}"/>
                </a:ext>
              </a:extLst>
            </xdr:cNvPr>
            <xdr:cNvPicPr>
              <a:picLocks noChangeArrowheads="1"/>
              <a:extLst>
                <a:ext uri="{84589F7E-364E-4C9E-8A38-B11213B215E9}">
                  <a14:cameraTool cellRange="PO!$T$1:$T$2" spid="_x0000_s23038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142875</xdr:rowOff>
        </xdr:to>
        <xdr:pic>
          <xdr:nvPicPr>
            <xdr:cNvPr id="202169" name="Picture 2489">
              <a:extLst>
                <a:ext uri="{FF2B5EF4-FFF2-40B4-BE49-F238E27FC236}">
                  <a16:creationId xmlns:a16="http://schemas.microsoft.com/office/drawing/2014/main" id="{00000000-0008-0000-0400-0000B9150300}"/>
                </a:ext>
              </a:extLst>
            </xdr:cNvPr>
            <xdr:cNvPicPr>
              <a:picLocks noChangeArrowheads="1"/>
              <a:extLst>
                <a:ext uri="{84589F7E-364E-4C9E-8A38-B11213B215E9}">
                  <a14:cameraTool cellRange="DADOS!$A$53:$K$57" spid="_x0000_s230387"/>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0" name="Picture 2490">
              <a:extLst>
                <a:ext uri="{FF2B5EF4-FFF2-40B4-BE49-F238E27FC236}">
                  <a16:creationId xmlns:a16="http://schemas.microsoft.com/office/drawing/2014/main" id="{00000000-0008-0000-0400-0000BA150300}"/>
                </a:ext>
              </a:extLst>
            </xdr:cNvPr>
            <xdr:cNvPicPr>
              <a:picLocks noChangeArrowheads="1"/>
              <a:extLst>
                <a:ext uri="{84589F7E-364E-4C9E-8A38-B11213B215E9}">
                  <a14:cameraTool cellRange="PO!$T$1:$T$2" spid="_x0000_s23038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37</xdr:row>
          <xdr:rowOff>0</xdr:rowOff>
        </xdr:from>
        <xdr:to>
          <xdr:col>23</xdr:col>
          <xdr:colOff>0</xdr:colOff>
          <xdr:row>41</xdr:row>
          <xdr:rowOff>142875</xdr:rowOff>
        </xdr:to>
        <xdr:pic>
          <xdr:nvPicPr>
            <xdr:cNvPr id="202171" name="Picture 2491">
              <a:extLst>
                <a:ext uri="{FF2B5EF4-FFF2-40B4-BE49-F238E27FC236}">
                  <a16:creationId xmlns:a16="http://schemas.microsoft.com/office/drawing/2014/main" id="{00000000-0008-0000-0400-0000BB150300}"/>
                </a:ext>
              </a:extLst>
            </xdr:cNvPr>
            <xdr:cNvPicPr>
              <a:picLocks noChangeArrowheads="1"/>
              <a:extLst>
                <a:ext uri="{84589F7E-364E-4C9E-8A38-B11213B215E9}">
                  <a14:cameraTool cellRange="DADOS!$A$53:$K$57" spid="_x0000_s230389"/>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72" name="Picture 2492">
              <a:extLst>
                <a:ext uri="{FF2B5EF4-FFF2-40B4-BE49-F238E27FC236}">
                  <a16:creationId xmlns:a16="http://schemas.microsoft.com/office/drawing/2014/main" id="{00000000-0008-0000-0400-0000BC150300}"/>
                </a:ext>
              </a:extLst>
            </xdr:cNvPr>
            <xdr:cNvPicPr>
              <a:picLocks noChangeArrowheads="1"/>
              <a:extLst>
                <a:ext uri="{84589F7E-364E-4C9E-8A38-B11213B215E9}">
                  <a14:cameraTool cellRange="PO!$T$1:$T$2" spid="_x0000_s23039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8" zoomScaleSheetLayoutView="100" workbookViewId="0">
      <selection activeCell="A45" sqref="A45:X45"/>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60" t="s">
        <v>2</v>
      </c>
      <c r="C1" s="260"/>
      <c r="D1" s="260"/>
      <c r="E1" s="260"/>
      <c r="F1" s="260"/>
      <c r="G1" s="260"/>
      <c r="H1" s="260"/>
      <c r="I1" s="260"/>
      <c r="J1" s="260"/>
      <c r="K1" s="260"/>
      <c r="L1" s="260"/>
      <c r="M1" s="260"/>
      <c r="N1" s="260"/>
      <c r="O1" s="260"/>
      <c r="P1" s="260"/>
      <c r="Q1" s="260"/>
      <c r="R1" s="260"/>
      <c r="S1" s="260"/>
      <c r="T1" s="260"/>
      <c r="U1" s="260"/>
      <c r="V1" s="260"/>
      <c r="W1" s="260"/>
      <c r="X1" s="261"/>
    </row>
    <row r="2" spans="1:25" ht="13.5" customHeight="1" x14ac:dyDescent="0.25">
      <c r="A2" s="105" t="s">
        <v>228</v>
      </c>
      <c r="B2" s="262"/>
      <c r="C2" s="262"/>
      <c r="D2" s="262"/>
      <c r="E2" s="262"/>
      <c r="F2" s="262"/>
      <c r="G2" s="262"/>
      <c r="H2" s="262"/>
      <c r="I2" s="262"/>
      <c r="J2" s="262"/>
      <c r="K2" s="262"/>
      <c r="L2" s="262"/>
      <c r="M2" s="262"/>
      <c r="N2" s="262"/>
      <c r="O2" s="262"/>
      <c r="P2" s="262"/>
      <c r="Q2" s="262"/>
      <c r="R2" s="262"/>
      <c r="S2" s="262"/>
      <c r="T2" s="262"/>
      <c r="U2" s="262"/>
      <c r="V2" s="262"/>
      <c r="W2" s="262"/>
      <c r="X2" s="263"/>
    </row>
    <row r="3" spans="1:25" ht="13.5" customHeight="1" x14ac:dyDescent="0.25">
      <c r="A3" s="1"/>
      <c r="B3" s="1"/>
      <c r="F3" s="1"/>
      <c r="G3" s="1"/>
      <c r="H3" s="1"/>
    </row>
    <row r="4" spans="1:25" s="21" customFormat="1" ht="12.75" customHeight="1" x14ac:dyDescent="0.25">
      <c r="A4" s="272" t="s">
        <v>168</v>
      </c>
      <c r="B4" s="272"/>
      <c r="C4" s="272"/>
      <c r="D4" s="272"/>
      <c r="E4" s="272"/>
      <c r="F4" s="272"/>
      <c r="G4" s="272"/>
      <c r="H4" s="272"/>
      <c r="I4" s="272"/>
      <c r="J4" s="272"/>
      <c r="K4" s="272"/>
      <c r="L4" s="272"/>
      <c r="M4" s="272"/>
      <c r="N4" s="272"/>
      <c r="O4" s="272"/>
      <c r="P4" s="272"/>
      <c r="Q4" s="272"/>
      <c r="R4" s="272"/>
      <c r="S4" s="272"/>
      <c r="T4" s="272"/>
      <c r="U4" s="272"/>
      <c r="V4" s="272"/>
      <c r="W4" s="272"/>
      <c r="X4" s="272"/>
    </row>
    <row r="5" spans="1:25" s="21" customFormat="1" x14ac:dyDescent="0.25">
      <c r="A5" s="22"/>
      <c r="B5" s="22"/>
      <c r="F5" s="23"/>
      <c r="G5" s="23"/>
      <c r="H5" s="23"/>
    </row>
    <row r="6" spans="1:25" s="22" customFormat="1" ht="24.9" customHeight="1" x14ac:dyDescent="0.25">
      <c r="A6" s="273" t="s">
        <v>179</v>
      </c>
      <c r="B6" s="274"/>
      <c r="C6" s="274"/>
      <c r="D6" s="274"/>
      <c r="E6" s="274"/>
      <c r="F6" s="274"/>
      <c r="G6" s="274"/>
      <c r="H6" s="274"/>
      <c r="I6" s="274"/>
      <c r="J6" s="274"/>
      <c r="K6" s="274"/>
      <c r="L6" s="274"/>
      <c r="M6" s="274"/>
      <c r="N6" s="274"/>
      <c r="O6" s="274"/>
      <c r="P6" s="274"/>
      <c r="Q6" s="274"/>
      <c r="R6" s="274"/>
      <c r="S6" s="274"/>
      <c r="T6" s="274"/>
      <c r="U6" s="274"/>
      <c r="V6" s="274"/>
      <c r="W6" s="274"/>
      <c r="X6" s="274"/>
    </row>
    <row r="7" spans="1:25" s="21" customFormat="1" ht="12.75" customHeight="1" x14ac:dyDescent="0.25">
      <c r="A7" s="22"/>
      <c r="B7" s="22"/>
      <c r="F7" s="23"/>
      <c r="G7" s="23"/>
      <c r="H7" s="23"/>
    </row>
    <row r="8" spans="1:25" s="21" customFormat="1" ht="12.75" customHeight="1" x14ac:dyDescent="0.25">
      <c r="A8" s="275" t="s">
        <v>23</v>
      </c>
      <c r="B8" s="275"/>
      <c r="C8" s="275"/>
      <c r="D8" s="275"/>
      <c r="E8" s="275"/>
      <c r="F8" s="275"/>
      <c r="G8" s="275"/>
      <c r="H8" s="275"/>
      <c r="I8" s="275"/>
      <c r="J8" s="275"/>
      <c r="K8" s="275"/>
      <c r="L8" s="275"/>
      <c r="M8" s="275"/>
      <c r="N8" s="275"/>
      <c r="O8" s="275"/>
      <c r="P8" s="275"/>
      <c r="Q8" s="275"/>
      <c r="R8" s="275"/>
      <c r="S8" s="275"/>
      <c r="T8" s="275"/>
      <c r="U8" s="275"/>
      <c r="V8" s="275"/>
      <c r="W8" s="275"/>
      <c r="X8" s="275"/>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277" t="s">
        <v>169</v>
      </c>
      <c r="B10" s="277"/>
      <c r="C10" s="277"/>
      <c r="D10" s="277"/>
      <c r="E10" s="277"/>
      <c r="F10" s="277"/>
      <c r="G10" s="277"/>
      <c r="H10" s="277"/>
      <c r="I10" s="277"/>
      <c r="J10" s="277"/>
      <c r="K10" s="277"/>
      <c r="L10" s="277"/>
      <c r="M10" s="277"/>
      <c r="N10" s="277"/>
      <c r="O10" s="277"/>
      <c r="P10" s="277"/>
      <c r="Q10" s="277"/>
      <c r="R10" s="277"/>
      <c r="S10" s="277"/>
      <c r="T10" s="277"/>
      <c r="U10" s="277"/>
      <c r="V10" s="277"/>
      <c r="W10" s="277"/>
      <c r="X10" s="277"/>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277" t="s">
        <v>1</v>
      </c>
      <c r="B12" s="277"/>
      <c r="C12" s="277"/>
      <c r="D12" s="277"/>
      <c r="E12" s="277"/>
      <c r="F12" s="277"/>
      <c r="G12" s="277"/>
      <c r="H12" s="277"/>
      <c r="I12" s="277"/>
      <c r="J12" s="277"/>
      <c r="K12" s="277"/>
      <c r="L12" s="277"/>
      <c r="M12" s="277"/>
      <c r="N12" s="277"/>
      <c r="O12" s="277"/>
      <c r="P12" s="277"/>
      <c r="Q12" s="277"/>
      <c r="R12" s="277"/>
      <c r="S12" s="277"/>
      <c r="T12" s="277"/>
      <c r="U12" s="277"/>
      <c r="V12" s="277"/>
      <c r="W12" s="277"/>
      <c r="X12" s="277"/>
    </row>
    <row r="13" spans="1:25" s="21" customFormat="1" x14ac:dyDescent="0.25">
      <c r="A13" s="22"/>
      <c r="B13" s="22"/>
      <c r="F13" s="23"/>
      <c r="G13" s="23"/>
      <c r="H13" s="23"/>
    </row>
    <row r="14" spans="1:25" s="21" customFormat="1" x14ac:dyDescent="0.25">
      <c r="A14" s="276" t="s">
        <v>24</v>
      </c>
      <c r="B14" s="275"/>
      <c r="C14" s="275"/>
      <c r="D14" s="275"/>
      <c r="E14" s="275"/>
      <c r="F14" s="275"/>
      <c r="G14" s="275"/>
      <c r="H14" s="275"/>
      <c r="I14" s="275"/>
      <c r="J14" s="275"/>
      <c r="K14" s="275"/>
      <c r="L14" s="275"/>
      <c r="M14" s="275"/>
      <c r="N14" s="275"/>
      <c r="O14" s="275"/>
      <c r="P14" s="275"/>
      <c r="Q14" s="275"/>
      <c r="R14" s="275"/>
      <c r="S14" s="275"/>
      <c r="T14" s="275"/>
      <c r="U14" s="275"/>
      <c r="V14" s="275"/>
      <c r="W14" s="275"/>
      <c r="X14" s="275"/>
    </row>
    <row r="15" spans="1:25" s="21" customFormat="1" x14ac:dyDescent="0.25">
      <c r="A15" s="22"/>
      <c r="B15" s="22"/>
      <c r="F15" s="23"/>
      <c r="G15" s="23"/>
      <c r="H15" s="23"/>
    </row>
    <row r="16" spans="1:25" s="21" customFormat="1" x14ac:dyDescent="0.25">
      <c r="A16" s="244" t="s">
        <v>186</v>
      </c>
      <c r="B16" s="245"/>
      <c r="C16" s="245"/>
      <c r="D16" s="245"/>
      <c r="E16" s="245"/>
      <c r="F16" s="245"/>
      <c r="G16" s="245"/>
      <c r="H16" s="245"/>
      <c r="I16" s="245"/>
      <c r="J16" s="245"/>
      <c r="K16" s="245"/>
      <c r="L16" s="245"/>
      <c r="M16" s="245"/>
      <c r="N16" s="245"/>
      <c r="O16" s="245"/>
      <c r="P16" s="245"/>
      <c r="Q16" s="245"/>
      <c r="R16" s="245"/>
      <c r="S16" s="245"/>
      <c r="T16" s="245"/>
      <c r="U16" s="245"/>
      <c r="V16" s="245"/>
      <c r="W16" s="245"/>
      <c r="X16" s="245"/>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46" t="s">
        <v>187</v>
      </c>
      <c r="B18" s="246"/>
      <c r="C18" s="247"/>
      <c r="D18" s="247"/>
      <c r="E18" s="247"/>
      <c r="F18" s="247"/>
      <c r="G18" s="247"/>
      <c r="H18" s="247"/>
      <c r="I18" s="247"/>
      <c r="J18" s="247"/>
      <c r="K18" s="247"/>
      <c r="L18" s="247"/>
      <c r="M18" s="247"/>
      <c r="N18" s="247"/>
      <c r="O18" s="247"/>
      <c r="P18" s="247"/>
      <c r="Q18" s="247"/>
      <c r="R18" s="247"/>
      <c r="S18" s="247"/>
      <c r="T18" s="247"/>
      <c r="U18" s="247"/>
      <c r="V18" s="247"/>
      <c r="W18" s="247"/>
      <c r="X18" s="247"/>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244" t="s">
        <v>189</v>
      </c>
      <c r="B22" s="245"/>
      <c r="C22" s="245"/>
      <c r="D22" s="245"/>
      <c r="E22" s="245"/>
      <c r="F22" s="245"/>
      <c r="G22" s="245"/>
      <c r="H22" s="245"/>
      <c r="I22" s="245"/>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46" t="s">
        <v>190</v>
      </c>
      <c r="B24" s="246"/>
      <c r="C24" s="247"/>
      <c r="D24" s="247"/>
      <c r="E24" s="247"/>
      <c r="F24" s="247"/>
      <c r="G24" s="247"/>
      <c r="H24" s="247"/>
      <c r="I24" s="247"/>
      <c r="J24" s="247"/>
      <c r="K24" s="247"/>
      <c r="L24" s="247"/>
      <c r="M24" s="247"/>
      <c r="N24" s="247"/>
      <c r="O24" s="247"/>
      <c r="P24" s="247"/>
      <c r="Q24" s="247"/>
      <c r="R24" s="247"/>
      <c r="S24" s="247"/>
      <c r="T24" s="247"/>
      <c r="U24" s="247"/>
      <c r="V24" s="247"/>
      <c r="W24" s="247"/>
      <c r="X24" s="247"/>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42" t="s">
        <v>191</v>
      </c>
      <c r="B26" s="242"/>
      <c r="C26" s="243"/>
      <c r="D26" s="243"/>
      <c r="E26" s="243"/>
      <c r="F26" s="243"/>
      <c r="G26" s="243"/>
      <c r="H26" s="243"/>
      <c r="I26" s="243"/>
      <c r="J26" s="243"/>
      <c r="K26" s="243"/>
      <c r="L26" s="243"/>
      <c r="M26" s="243"/>
      <c r="N26" s="243"/>
      <c r="O26" s="243"/>
      <c r="P26" s="243"/>
      <c r="Q26" s="243"/>
      <c r="R26" s="243"/>
      <c r="S26" s="243"/>
      <c r="T26" s="243"/>
      <c r="U26" s="243"/>
      <c r="V26" s="243"/>
      <c r="W26" s="243"/>
      <c r="X26" s="243"/>
    </row>
    <row r="27" spans="1:25" s="21" customFormat="1" ht="6" customHeight="1" x14ac:dyDescent="0.25">
      <c r="A27" s="25"/>
      <c r="B27" s="25"/>
      <c r="F27" s="23"/>
      <c r="G27" s="23"/>
      <c r="H27" s="23"/>
    </row>
    <row r="28" spans="1:25" ht="12.75" customHeight="1" x14ac:dyDescent="0.25">
      <c r="A28" s="240" t="s">
        <v>177</v>
      </c>
      <c r="B28" s="251"/>
      <c r="C28" s="240" t="s">
        <v>170</v>
      </c>
      <c r="D28" s="241"/>
      <c r="E28" s="251"/>
      <c r="F28" s="240" t="s">
        <v>171</v>
      </c>
      <c r="G28" s="241"/>
      <c r="H28" s="241"/>
      <c r="I28" s="251"/>
      <c r="J28" s="240" t="s">
        <v>172</v>
      </c>
      <c r="K28" s="241"/>
      <c r="L28" s="241"/>
      <c r="M28" s="241"/>
      <c r="N28" s="241"/>
      <c r="O28" s="251"/>
      <c r="P28" s="240" t="s">
        <v>0</v>
      </c>
      <c r="Q28" s="241"/>
      <c r="R28" s="241"/>
      <c r="S28" s="241"/>
      <c r="T28" s="241"/>
      <c r="U28" s="241"/>
      <c r="V28" s="241"/>
      <c r="W28" s="241"/>
      <c r="X28" s="251"/>
    </row>
    <row r="29" spans="1:25" ht="12.75" customHeight="1" x14ac:dyDescent="0.25">
      <c r="A29" s="235"/>
      <c r="B29" s="252"/>
      <c r="C29" s="235"/>
      <c r="D29" s="236"/>
      <c r="E29" s="237"/>
      <c r="F29" s="235"/>
      <c r="G29" s="309"/>
      <c r="H29" s="309"/>
      <c r="I29" s="252"/>
      <c r="J29" s="235"/>
      <c r="K29" s="309"/>
      <c r="L29" s="309"/>
      <c r="M29" s="309"/>
      <c r="N29" s="309"/>
      <c r="O29" s="252"/>
      <c r="P29" s="235" t="s">
        <v>281</v>
      </c>
      <c r="Q29" s="309"/>
      <c r="R29" s="309"/>
      <c r="S29" s="309"/>
      <c r="T29" s="309"/>
      <c r="U29" s="309"/>
      <c r="V29" s="309"/>
      <c r="W29" s="309"/>
      <c r="X29" s="252"/>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40" t="s">
        <v>173</v>
      </c>
      <c r="B31" s="241"/>
      <c r="C31" s="241"/>
      <c r="D31" s="241"/>
      <c r="E31" s="241"/>
      <c r="F31" s="251"/>
      <c r="G31" s="240" t="s">
        <v>174</v>
      </c>
      <c r="H31" s="241"/>
      <c r="I31" s="241"/>
      <c r="J31" s="251"/>
      <c r="K31" s="240" t="s">
        <v>175</v>
      </c>
      <c r="L31" s="241"/>
      <c r="M31" s="241"/>
      <c r="N31" s="241"/>
      <c r="O31" s="241"/>
      <c r="P31" s="251"/>
      <c r="Q31" s="240" t="s">
        <v>180</v>
      </c>
      <c r="R31" s="241"/>
      <c r="S31" s="241"/>
      <c r="T31" s="241"/>
      <c r="U31" s="241"/>
      <c r="V31" s="241"/>
      <c r="W31" s="241"/>
      <c r="X31" s="251"/>
    </row>
    <row r="32" spans="1:25" x14ac:dyDescent="0.25">
      <c r="A32" s="310" t="s">
        <v>230</v>
      </c>
      <c r="B32" s="311"/>
      <c r="C32" s="311"/>
      <c r="D32" s="311"/>
      <c r="E32" s="311"/>
      <c r="F32" s="312"/>
      <c r="G32" s="235" t="s">
        <v>231</v>
      </c>
      <c r="H32" s="236"/>
      <c r="I32" s="236"/>
      <c r="J32" s="237"/>
      <c r="K32" s="235" t="s">
        <v>255</v>
      </c>
      <c r="L32" s="309"/>
      <c r="M32" s="309"/>
      <c r="N32" s="309"/>
      <c r="O32" s="309"/>
      <c r="P32" s="252"/>
      <c r="Q32" s="235" t="s">
        <v>281</v>
      </c>
      <c r="R32" s="309"/>
      <c r="S32" s="309"/>
      <c r="T32" s="309"/>
      <c r="U32" s="309"/>
      <c r="V32" s="309"/>
      <c r="W32" s="309"/>
      <c r="X32" s="252"/>
    </row>
    <row r="33" spans="1:24" s="21" customFormat="1" ht="9" customHeight="1" x14ac:dyDescent="0.25">
      <c r="A33" s="22"/>
      <c r="B33" s="22"/>
      <c r="F33" s="23"/>
      <c r="G33" s="23"/>
      <c r="H33" s="23"/>
    </row>
    <row r="34" spans="1:24" s="27" customFormat="1" x14ac:dyDescent="0.25"/>
    <row r="35" spans="1:24" s="21" customFormat="1" ht="12.75" customHeight="1" x14ac:dyDescent="0.25">
      <c r="A35" s="242" t="s">
        <v>192</v>
      </c>
      <c r="B35" s="242"/>
      <c r="C35" s="243"/>
      <c r="D35" s="243"/>
      <c r="E35" s="243"/>
      <c r="F35" s="243"/>
      <c r="G35" s="243"/>
      <c r="H35" s="243"/>
      <c r="I35" s="243"/>
      <c r="J35" s="243"/>
      <c r="K35" s="243"/>
      <c r="L35" s="243"/>
      <c r="M35" s="243"/>
      <c r="N35" s="243"/>
      <c r="O35" s="243"/>
      <c r="P35" s="243"/>
      <c r="Q35" s="243"/>
      <c r="R35" s="243"/>
      <c r="S35" s="243"/>
      <c r="T35" s="243"/>
      <c r="U35" s="243"/>
      <c r="V35" s="243"/>
      <c r="W35" s="243"/>
      <c r="X35" s="243"/>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40" t="s">
        <v>16</v>
      </c>
      <c r="B37" s="251"/>
      <c r="C37" s="92" t="s">
        <v>91</v>
      </c>
      <c r="D37" s="240" t="s">
        <v>14</v>
      </c>
      <c r="E37" s="241"/>
      <c r="F37" s="251"/>
      <c r="G37" s="240" t="s">
        <v>12</v>
      </c>
      <c r="H37" s="241"/>
      <c r="I37" s="241"/>
      <c r="J37" s="241"/>
      <c r="K37" s="241"/>
      <c r="L37" s="241"/>
      <c r="M37" s="241"/>
      <c r="N37" s="241"/>
      <c r="O37" s="241"/>
      <c r="P37" s="241"/>
      <c r="Q37" s="241"/>
      <c r="R37" s="241"/>
      <c r="S37" s="251"/>
      <c r="T37" s="93" t="s">
        <v>7</v>
      </c>
      <c r="U37" s="93" t="s">
        <v>8</v>
      </c>
      <c r="V37" s="93" t="s">
        <v>9</v>
      </c>
      <c r="W37" s="93" t="s">
        <v>10</v>
      </c>
      <c r="X37" s="93" t="s">
        <v>11</v>
      </c>
    </row>
    <row r="38" spans="1:24" s="21" customFormat="1" ht="12.75" customHeight="1" x14ac:dyDescent="0.25">
      <c r="A38" s="256">
        <v>45575</v>
      </c>
      <c r="B38" s="257"/>
      <c r="C38" s="91" t="s">
        <v>234</v>
      </c>
      <c r="D38" s="235" t="s">
        <v>78</v>
      </c>
      <c r="E38" s="236"/>
      <c r="F38" s="237"/>
      <c r="G38" s="235" t="s">
        <v>282</v>
      </c>
      <c r="H38" s="236"/>
      <c r="I38" s="236"/>
      <c r="J38" s="236"/>
      <c r="K38" s="236"/>
      <c r="L38" s="236"/>
      <c r="M38" s="236"/>
      <c r="N38" s="236"/>
      <c r="O38" s="236"/>
      <c r="P38" s="236"/>
      <c r="Q38" s="236"/>
      <c r="R38" s="236"/>
      <c r="S38" s="237"/>
      <c r="T38" s="95">
        <f ca="1">IF(ISERROR(INDIRECT("'BDI ("&amp;RIGHT(T37,1)&amp;")'!N27")),"",INDIRECT("'BDI ("&amp;RIGHT(T37,1)&amp;")'!N27"))</f>
        <v>0.23</v>
      </c>
      <c r="U38" s="96">
        <f ca="1">IF(ISERROR(INDIRECT("'BDI ("&amp;RIGHT(U37,1)&amp;")'!N27")),"",INDIRECT("'BDI ("&amp;RIGHT(U37,1)&amp;")'!N27"))</f>
        <v>0.15</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42" t="s">
        <v>162</v>
      </c>
      <c r="B40" s="242"/>
      <c r="C40" s="243"/>
      <c r="D40" s="243"/>
      <c r="E40" s="243"/>
      <c r="F40" s="243"/>
      <c r="G40" s="243"/>
      <c r="H40" s="243"/>
      <c r="I40" s="243"/>
      <c r="J40" s="243"/>
      <c r="K40" s="243"/>
      <c r="L40" s="243"/>
      <c r="M40" s="243"/>
      <c r="N40" s="243"/>
      <c r="O40" s="243"/>
      <c r="P40" s="243"/>
      <c r="Q40" s="243"/>
      <c r="R40" s="243"/>
      <c r="S40" s="243"/>
      <c r="T40" s="243"/>
      <c r="U40" s="243"/>
      <c r="V40" s="243"/>
      <c r="W40" s="243"/>
      <c r="X40" s="243"/>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40" t="s">
        <v>87</v>
      </c>
      <c r="B42" s="251"/>
      <c r="C42" s="240" t="s">
        <v>111</v>
      </c>
      <c r="D42" s="241"/>
      <c r="E42" s="241"/>
      <c r="F42" s="241"/>
      <c r="G42" s="241"/>
      <c r="H42" s="240" t="s">
        <v>16</v>
      </c>
      <c r="I42" s="241"/>
      <c r="J42" s="28" t="s">
        <v>91</v>
      </c>
      <c r="K42" s="240" t="s">
        <v>88</v>
      </c>
      <c r="L42" s="241"/>
      <c r="M42" s="251"/>
      <c r="N42" s="28" t="s">
        <v>92</v>
      </c>
      <c r="O42" s="240" t="s">
        <v>93</v>
      </c>
      <c r="P42" s="241"/>
      <c r="Q42" s="241"/>
      <c r="R42" s="241"/>
      <c r="S42" s="241"/>
      <c r="T42" s="251"/>
      <c r="U42" s="258" t="s">
        <v>89</v>
      </c>
      <c r="V42" s="259"/>
      <c r="W42" s="258" t="s">
        <v>90</v>
      </c>
      <c r="X42" s="259"/>
    </row>
    <row r="43" spans="1:24" s="21" customFormat="1" ht="12.75" customHeight="1" x14ac:dyDescent="0.25">
      <c r="A43" s="279"/>
      <c r="B43" s="280"/>
      <c r="C43" s="235"/>
      <c r="D43" s="236"/>
      <c r="E43" s="236"/>
      <c r="F43" s="236"/>
      <c r="G43" s="236"/>
      <c r="H43" s="256"/>
      <c r="I43" s="257"/>
      <c r="J43" s="88"/>
      <c r="K43" s="313"/>
      <c r="L43" s="314"/>
      <c r="M43" s="315"/>
      <c r="N43" s="104"/>
      <c r="O43" s="267"/>
      <c r="P43" s="268"/>
      <c r="Q43" s="268"/>
      <c r="R43" s="269"/>
      <c r="S43" s="269"/>
      <c r="T43" s="270"/>
      <c r="U43" s="265"/>
      <c r="V43" s="271"/>
      <c r="W43" s="265"/>
      <c r="X43" s="266"/>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42" t="s">
        <v>193</v>
      </c>
      <c r="B45" s="242"/>
      <c r="C45" s="243"/>
      <c r="D45" s="243"/>
      <c r="E45" s="243"/>
      <c r="F45" s="243"/>
      <c r="G45" s="243"/>
      <c r="H45" s="243"/>
      <c r="I45" s="243"/>
      <c r="J45" s="243"/>
      <c r="K45" s="243"/>
      <c r="L45" s="243"/>
      <c r="M45" s="243"/>
      <c r="N45" s="243"/>
      <c r="O45" s="243"/>
      <c r="P45" s="243"/>
      <c r="Q45" s="243"/>
      <c r="R45" s="243"/>
      <c r="S45" s="243"/>
      <c r="T45" s="243"/>
      <c r="U45" s="243"/>
      <c r="V45" s="243"/>
      <c r="W45" s="243"/>
      <c r="X45" s="243"/>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93">
        <v>44896</v>
      </c>
      <c r="B48" s="294"/>
      <c r="C48" s="295"/>
      <c r="E48" s="37"/>
    </row>
    <row r="49" spans="1:24" s="21" customFormat="1" x14ac:dyDescent="0.25">
      <c r="A49" s="22"/>
      <c r="B49" s="22"/>
      <c r="F49" s="33"/>
      <c r="G49" s="34"/>
      <c r="H49" s="35"/>
    </row>
    <row r="50" spans="1:24" s="21" customFormat="1" x14ac:dyDescent="0.25">
      <c r="A50" s="242" t="s">
        <v>194</v>
      </c>
      <c r="B50" s="242"/>
      <c r="C50" s="243"/>
      <c r="D50" s="243"/>
      <c r="E50" s="243"/>
      <c r="F50" s="243"/>
      <c r="G50" s="243"/>
      <c r="H50" s="243"/>
      <c r="I50" s="243"/>
      <c r="J50" s="243"/>
      <c r="K50" s="243"/>
      <c r="L50" s="243"/>
      <c r="M50" s="243"/>
      <c r="N50" s="243"/>
      <c r="O50" s="243"/>
      <c r="P50" s="243"/>
      <c r="Q50" s="243"/>
      <c r="R50" s="243"/>
      <c r="S50" s="243"/>
      <c r="T50" s="243"/>
      <c r="U50" s="243"/>
      <c r="V50" s="243"/>
      <c r="W50" s="243"/>
      <c r="X50" s="243"/>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96"/>
      <c r="C54" s="297"/>
      <c r="D54" s="297"/>
      <c r="E54" s="297"/>
      <c r="F54" s="33"/>
      <c r="G54" s="101" t="s">
        <v>140</v>
      </c>
      <c r="H54" s="297"/>
      <c r="I54" s="297"/>
      <c r="J54" s="297"/>
      <c r="K54" s="297"/>
      <c r="L54" s="2"/>
      <c r="M54"/>
      <c r="N54"/>
      <c r="O54"/>
      <c r="P54"/>
      <c r="Q54"/>
      <c r="R54"/>
      <c r="S54"/>
      <c r="T54"/>
      <c r="U54"/>
      <c r="V54"/>
      <c r="W54"/>
      <c r="X54"/>
    </row>
    <row r="55" spans="1:24" s="21" customFormat="1" x14ac:dyDescent="0.25">
      <c r="A55" s="101" t="str">
        <f>IF(OR(TipoOrçamento="BASE",TipoOrçamento="REPROGRAMADONPL"),"Título:","Cargo:")</f>
        <v>Cargo:</v>
      </c>
      <c r="B55" s="296"/>
      <c r="C55" s="297"/>
      <c r="D55" s="297"/>
      <c r="E55" s="297"/>
      <c r="F55" s="33"/>
      <c r="G55" s="101" t="str">
        <f>A55</f>
        <v>Cargo:</v>
      </c>
      <c r="H55" s="297"/>
      <c r="I55" s="297"/>
      <c r="J55" s="297"/>
      <c r="K55" s="297"/>
      <c r="L55" s="2"/>
      <c r="M55"/>
      <c r="N55"/>
      <c r="O55"/>
      <c r="P55"/>
      <c r="Q55"/>
      <c r="R55"/>
      <c r="S55"/>
      <c r="T55"/>
      <c r="U55"/>
      <c r="V55"/>
      <c r="W55"/>
      <c r="X55"/>
    </row>
    <row r="56" spans="1:24" s="21" customFormat="1" x14ac:dyDescent="0.25">
      <c r="A56" s="101" t="str">
        <f>IF(OR(TipoOrçamento="BASE",TipoOrçamento="REPROGRAMADONPL"),"CREA/CAU:","Empresa:")</f>
        <v>Empresa:</v>
      </c>
      <c r="B56" s="278"/>
      <c r="C56" s="264"/>
      <c r="D56" s="264"/>
      <c r="E56" s="264"/>
      <c r="F56" s="33"/>
      <c r="G56" s="101" t="str">
        <f>A56</f>
        <v>Empresa:</v>
      </c>
      <c r="H56" s="264"/>
      <c r="I56" s="264"/>
      <c r="J56" s="264"/>
      <c r="K56" s="264"/>
      <c r="L56" s="2"/>
      <c r="M56"/>
      <c r="N56"/>
      <c r="O56"/>
      <c r="P56"/>
      <c r="Q56"/>
      <c r="R56"/>
      <c r="S56"/>
      <c r="T56"/>
      <c r="U56"/>
      <c r="V56"/>
      <c r="W56"/>
      <c r="X56"/>
    </row>
    <row r="57" spans="1:24" s="21" customFormat="1" x14ac:dyDescent="0.25">
      <c r="A57" s="101" t="str">
        <f>IF(OR(TipoOrçamento="BASE",TipoOrçamento="REPROGRAMADONPL"),"ART/RRT:","CNPJ:")</f>
        <v>CNPJ:</v>
      </c>
      <c r="B57" s="278"/>
      <c r="C57" s="264"/>
      <c r="D57" s="264"/>
      <c r="E57" s="264"/>
      <c r="F57" s="33"/>
      <c r="G57" s="101" t="str">
        <f>A57</f>
        <v>CNPJ:</v>
      </c>
      <c r="H57" s="264"/>
      <c r="I57" s="264"/>
      <c r="J57" s="264"/>
      <c r="K57" s="264"/>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46" t="s">
        <v>195</v>
      </c>
      <c r="B60" s="246"/>
      <c r="C60" s="247"/>
      <c r="D60" s="247"/>
      <c r="E60" s="247"/>
      <c r="F60" s="247"/>
      <c r="G60" s="247"/>
      <c r="H60" s="247"/>
      <c r="I60" s="247"/>
      <c r="J60" s="247"/>
      <c r="K60" s="247"/>
      <c r="L60" s="247"/>
      <c r="M60" s="247"/>
      <c r="N60" s="247"/>
      <c r="O60" s="247"/>
      <c r="P60" s="247"/>
      <c r="Q60" s="247"/>
      <c r="R60" s="247"/>
      <c r="S60" s="247"/>
      <c r="T60" s="247"/>
      <c r="U60" s="247"/>
      <c r="V60" s="247"/>
      <c r="W60" s="247"/>
      <c r="X60" s="247"/>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53" t="s">
        <v>196</v>
      </c>
      <c r="B62" s="254"/>
      <c r="C62" s="255"/>
      <c r="D62" s="255"/>
      <c r="E62" s="255"/>
      <c r="F62" s="255"/>
      <c r="G62" s="255"/>
      <c r="H62" s="255"/>
      <c r="I62" s="255"/>
      <c r="J62" s="255"/>
      <c r="K62" s="255"/>
      <c r="L62" s="255"/>
      <c r="M62" s="255"/>
      <c r="N62" s="255"/>
      <c r="O62" s="255"/>
      <c r="P62" s="255"/>
      <c r="Q62" s="255"/>
      <c r="R62" s="255"/>
      <c r="S62" s="255"/>
      <c r="T62" s="255"/>
      <c r="U62" s="255"/>
      <c r="V62" s="255"/>
      <c r="W62" s="255"/>
      <c r="X62" s="255"/>
    </row>
    <row r="63" spans="1:24" s="21" customFormat="1" ht="30" customHeight="1" x14ac:dyDescent="0.25">
      <c r="A63" s="253" t="s">
        <v>197</v>
      </c>
      <c r="B63" s="253"/>
      <c r="C63" s="298"/>
      <c r="D63" s="298"/>
      <c r="E63" s="298"/>
      <c r="F63" s="298"/>
      <c r="G63" s="298"/>
      <c r="H63" s="298"/>
      <c r="I63" s="298"/>
      <c r="J63" s="298"/>
      <c r="K63" s="298"/>
      <c r="L63" s="298"/>
      <c r="M63" s="298"/>
      <c r="N63" s="298"/>
      <c r="O63" s="298"/>
      <c r="P63" s="298"/>
      <c r="Q63" s="298"/>
      <c r="R63" s="298"/>
      <c r="S63" s="298"/>
      <c r="T63" s="298"/>
      <c r="U63" s="298"/>
      <c r="V63" s="298"/>
      <c r="W63" s="298"/>
      <c r="X63" s="298"/>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46" t="s">
        <v>198</v>
      </c>
      <c r="B65" s="246"/>
      <c r="C65" s="247"/>
      <c r="D65" s="247"/>
      <c r="E65" s="247"/>
      <c r="F65" s="247"/>
      <c r="G65" s="247"/>
      <c r="H65" s="247"/>
      <c r="I65" s="247"/>
      <c r="J65" s="247"/>
      <c r="K65" s="247"/>
      <c r="L65" s="247"/>
      <c r="M65" s="247"/>
      <c r="N65" s="247"/>
      <c r="O65" s="247"/>
      <c r="P65" s="247"/>
      <c r="Q65" s="247"/>
      <c r="R65" s="247"/>
      <c r="S65" s="247"/>
      <c r="T65" s="247"/>
      <c r="U65" s="247"/>
      <c r="V65" s="247"/>
      <c r="W65" s="247"/>
      <c r="X65" s="247"/>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42" t="s">
        <v>199</v>
      </c>
      <c r="B67" s="242"/>
      <c r="C67" s="243"/>
      <c r="D67" s="243"/>
      <c r="E67" s="243"/>
      <c r="F67" s="243"/>
      <c r="G67" s="243"/>
      <c r="H67" s="243"/>
      <c r="I67" s="243"/>
      <c r="J67" s="243"/>
      <c r="K67" s="243"/>
      <c r="L67" s="243"/>
      <c r="M67" s="243"/>
      <c r="N67" s="243"/>
      <c r="O67" s="243"/>
      <c r="P67" s="243"/>
      <c r="Q67" s="243"/>
      <c r="R67" s="243"/>
      <c r="S67" s="243"/>
      <c r="T67" s="243"/>
      <c r="U67" s="243"/>
      <c r="V67" s="243"/>
      <c r="W67" s="243"/>
      <c r="X67" s="243"/>
    </row>
    <row r="68" spans="1:24" s="21" customFormat="1" x14ac:dyDescent="0.25">
      <c r="A68" s="242" t="s">
        <v>200</v>
      </c>
      <c r="B68" s="242"/>
      <c r="C68" s="243"/>
      <c r="D68" s="243"/>
      <c r="E68" s="243"/>
      <c r="F68" s="243"/>
      <c r="G68" s="243"/>
      <c r="H68" s="243"/>
      <c r="I68" s="243"/>
      <c r="J68" s="243"/>
      <c r="K68" s="243"/>
      <c r="L68" s="243"/>
      <c r="M68" s="243"/>
      <c r="N68" s="243"/>
      <c r="O68" s="243"/>
      <c r="P68" s="243"/>
      <c r="Q68" s="243"/>
      <c r="R68" s="243"/>
      <c r="S68" s="243"/>
      <c r="T68" s="243"/>
      <c r="U68" s="243"/>
      <c r="V68" s="243"/>
      <c r="W68" s="243"/>
      <c r="X68" s="243"/>
    </row>
    <row r="69" spans="1:24" s="21" customFormat="1" ht="12.75" customHeight="1" x14ac:dyDescent="0.25">
      <c r="A69" s="242" t="s">
        <v>201</v>
      </c>
      <c r="B69" s="242"/>
      <c r="C69" s="243"/>
      <c r="D69" s="243"/>
      <c r="E69" s="243"/>
      <c r="F69" s="243"/>
      <c r="G69" s="243"/>
      <c r="H69" s="243"/>
      <c r="I69" s="243"/>
      <c r="J69" s="243"/>
      <c r="K69" s="243"/>
      <c r="L69" s="243"/>
      <c r="M69" s="243"/>
      <c r="N69" s="243"/>
      <c r="O69" s="243"/>
      <c r="P69" s="243"/>
      <c r="Q69" s="243"/>
      <c r="R69" s="243"/>
      <c r="S69" s="243"/>
      <c r="T69" s="243"/>
      <c r="U69" s="243"/>
      <c r="V69" s="243"/>
      <c r="W69" s="243"/>
      <c r="X69" s="243"/>
    </row>
    <row r="70" spans="1:24" s="21" customFormat="1" ht="12.75" customHeight="1" x14ac:dyDescent="0.25">
      <c r="A70" s="242" t="s">
        <v>202</v>
      </c>
      <c r="B70" s="242"/>
      <c r="C70" s="243"/>
      <c r="D70" s="243"/>
      <c r="E70" s="243"/>
      <c r="F70" s="243"/>
      <c r="G70" s="243"/>
      <c r="H70" s="243"/>
      <c r="I70" s="243"/>
      <c r="J70" s="243"/>
      <c r="K70" s="243"/>
      <c r="L70" s="243"/>
      <c r="M70" s="243"/>
      <c r="N70" s="243"/>
      <c r="O70" s="243"/>
      <c r="P70" s="243"/>
      <c r="Q70" s="243"/>
      <c r="R70" s="243"/>
      <c r="S70" s="243"/>
      <c r="T70" s="243"/>
      <c r="U70" s="243"/>
      <c r="V70" s="243"/>
      <c r="W70" s="243"/>
      <c r="X70" s="243"/>
    </row>
    <row r="71" spans="1:24" s="21" customFormat="1" ht="12.75" customHeight="1" x14ac:dyDescent="0.25">
      <c r="A71" s="242" t="s">
        <v>203</v>
      </c>
      <c r="B71" s="242"/>
      <c r="C71" s="243"/>
      <c r="D71" s="243"/>
      <c r="E71" s="243"/>
      <c r="F71" s="243"/>
      <c r="G71" s="243"/>
      <c r="H71" s="243"/>
      <c r="I71" s="243"/>
      <c r="J71" s="243"/>
      <c r="K71" s="243"/>
      <c r="L71" s="243"/>
      <c r="M71" s="243"/>
      <c r="N71" s="243"/>
      <c r="O71" s="243"/>
      <c r="P71" s="243"/>
      <c r="Q71" s="243"/>
      <c r="R71" s="243"/>
      <c r="S71" s="243"/>
      <c r="T71" s="243"/>
      <c r="U71" s="243"/>
      <c r="V71" s="243"/>
      <c r="W71" s="243"/>
      <c r="X71" s="243"/>
    </row>
    <row r="72" spans="1:24" s="21" customFormat="1" ht="12.75" customHeight="1" x14ac:dyDescent="0.25">
      <c r="A72" s="242" t="s">
        <v>204</v>
      </c>
      <c r="B72" s="242"/>
      <c r="C72" s="243"/>
      <c r="D72" s="243"/>
      <c r="E72" s="243"/>
      <c r="F72" s="243"/>
      <c r="G72" s="243"/>
      <c r="H72" s="243"/>
      <c r="I72" s="243"/>
      <c r="J72" s="243"/>
      <c r="K72" s="243"/>
      <c r="L72" s="243"/>
      <c r="M72" s="243"/>
      <c r="N72" s="243"/>
      <c r="O72" s="243"/>
      <c r="P72" s="243"/>
      <c r="Q72" s="243"/>
      <c r="R72" s="243"/>
      <c r="S72" s="243"/>
      <c r="T72" s="243"/>
      <c r="U72" s="243"/>
      <c r="V72" s="243"/>
      <c r="W72" s="243"/>
      <c r="X72" s="243"/>
    </row>
    <row r="73" spans="1:24" s="21" customFormat="1" x14ac:dyDescent="0.25">
      <c r="A73" s="22"/>
      <c r="B73" s="22"/>
      <c r="F73" s="33"/>
      <c r="G73" s="34"/>
      <c r="H73" s="35"/>
    </row>
    <row r="74" spans="1:24" s="21" customFormat="1" ht="12.75" customHeight="1" x14ac:dyDescent="0.25">
      <c r="A74" s="246" t="s">
        <v>205</v>
      </c>
      <c r="B74" s="246"/>
      <c r="C74" s="247"/>
      <c r="D74" s="247"/>
      <c r="E74" s="247"/>
      <c r="F74" s="247"/>
      <c r="G74" s="247"/>
      <c r="H74" s="247"/>
      <c r="I74" s="247"/>
      <c r="J74" s="247"/>
      <c r="K74" s="247"/>
      <c r="L74" s="247"/>
      <c r="M74" s="247"/>
      <c r="N74" s="247"/>
      <c r="O74" s="247"/>
      <c r="P74" s="247"/>
      <c r="Q74" s="247"/>
      <c r="R74" s="247"/>
      <c r="S74" s="247"/>
      <c r="T74" s="247"/>
      <c r="U74" s="247"/>
      <c r="V74" s="247"/>
      <c r="W74" s="247"/>
      <c r="X74" s="247"/>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42" t="s">
        <v>206</v>
      </c>
      <c r="B76" s="242"/>
      <c r="C76" s="243"/>
      <c r="D76" s="243"/>
      <c r="E76" s="243"/>
      <c r="F76" s="243"/>
      <c r="G76" s="243"/>
      <c r="H76" s="243"/>
      <c r="I76" s="243"/>
      <c r="J76" s="243"/>
      <c r="K76" s="243"/>
      <c r="L76" s="243"/>
      <c r="M76" s="243"/>
      <c r="N76" s="243"/>
      <c r="O76" s="243"/>
      <c r="P76" s="243"/>
      <c r="Q76" s="243"/>
      <c r="R76" s="243"/>
      <c r="S76" s="243"/>
      <c r="T76" s="243"/>
      <c r="U76" s="243"/>
      <c r="V76" s="243"/>
      <c r="W76" s="243"/>
      <c r="X76" s="243"/>
    </row>
    <row r="77" spans="1:24" s="21" customFormat="1" ht="26.1" customHeight="1" x14ac:dyDescent="0.25">
      <c r="A77" s="238" t="s">
        <v>207</v>
      </c>
      <c r="B77" s="238"/>
      <c r="C77" s="239"/>
      <c r="D77" s="239"/>
      <c r="E77" s="239"/>
      <c r="F77" s="239"/>
      <c r="G77" s="239"/>
      <c r="H77" s="239"/>
      <c r="I77" s="239"/>
      <c r="J77" s="239"/>
      <c r="K77" s="239"/>
      <c r="L77" s="239"/>
      <c r="M77" s="239"/>
      <c r="N77" s="239"/>
      <c r="O77" s="239"/>
      <c r="P77" s="239"/>
      <c r="Q77" s="239"/>
      <c r="R77" s="239"/>
      <c r="S77" s="239"/>
      <c r="T77" s="239"/>
      <c r="U77" s="239"/>
      <c r="V77" s="239"/>
      <c r="W77" s="239"/>
      <c r="X77" s="239"/>
    </row>
    <row r="78" spans="1:24" s="21" customFormat="1" ht="12.75" customHeight="1" x14ac:dyDescent="0.25">
      <c r="A78" s="242" t="s">
        <v>208</v>
      </c>
      <c r="B78" s="242"/>
      <c r="C78" s="243"/>
      <c r="D78" s="243"/>
      <c r="E78" s="243"/>
      <c r="F78" s="243"/>
      <c r="G78" s="243"/>
      <c r="H78" s="243"/>
      <c r="I78" s="243"/>
      <c r="J78" s="243"/>
      <c r="K78" s="243"/>
      <c r="L78" s="243"/>
      <c r="M78" s="243"/>
      <c r="N78" s="243"/>
      <c r="O78" s="243"/>
      <c r="P78" s="243"/>
      <c r="Q78" s="243"/>
      <c r="R78" s="243"/>
      <c r="S78" s="243"/>
      <c r="T78" s="243"/>
      <c r="U78" s="243"/>
      <c r="V78" s="243"/>
      <c r="W78" s="243"/>
      <c r="X78" s="243"/>
    </row>
    <row r="79" spans="1:24" s="21" customFormat="1" ht="25.5" customHeight="1" x14ac:dyDescent="0.25">
      <c r="A79" s="242" t="s">
        <v>209</v>
      </c>
      <c r="B79" s="242"/>
      <c r="C79" s="243"/>
      <c r="D79" s="243"/>
      <c r="E79" s="243"/>
      <c r="F79" s="243"/>
      <c r="G79" s="243"/>
      <c r="H79" s="243"/>
      <c r="I79" s="243"/>
      <c r="J79" s="243"/>
      <c r="K79" s="243"/>
      <c r="L79" s="243"/>
      <c r="M79" s="243"/>
      <c r="N79" s="243"/>
      <c r="O79" s="243"/>
      <c r="P79" s="243"/>
      <c r="Q79" s="243"/>
      <c r="R79" s="243"/>
      <c r="S79" s="243"/>
      <c r="T79" s="243"/>
      <c r="U79" s="243"/>
      <c r="V79" s="243"/>
      <c r="W79" s="243"/>
      <c r="X79" s="243"/>
    </row>
    <row r="80" spans="1:24" s="21" customFormat="1" x14ac:dyDescent="0.25">
      <c r="A80" s="238" t="s">
        <v>210</v>
      </c>
      <c r="B80" s="238"/>
      <c r="C80" s="239"/>
      <c r="D80" s="239"/>
      <c r="E80" s="239"/>
      <c r="F80" s="239"/>
      <c r="G80" s="239"/>
      <c r="H80" s="239"/>
      <c r="I80" s="239"/>
      <c r="J80" s="239"/>
      <c r="K80" s="239"/>
      <c r="L80" s="239"/>
      <c r="M80" s="239"/>
      <c r="N80" s="239"/>
      <c r="O80" s="239"/>
      <c r="P80" s="239"/>
      <c r="Q80" s="239"/>
      <c r="R80" s="239"/>
      <c r="S80" s="239"/>
      <c r="T80" s="239"/>
      <c r="U80" s="239"/>
      <c r="V80" s="239"/>
      <c r="W80" s="239"/>
      <c r="X80" s="239"/>
    </row>
    <row r="81" spans="1:24" ht="12.75" customHeight="1" x14ac:dyDescent="0.25">
      <c r="A81" s="242" t="s">
        <v>211</v>
      </c>
      <c r="B81" s="242"/>
      <c r="C81" s="243"/>
      <c r="D81" s="243"/>
      <c r="E81" s="243"/>
      <c r="F81" s="243"/>
      <c r="G81" s="243"/>
      <c r="H81" s="243"/>
      <c r="I81" s="243"/>
      <c r="J81" s="243"/>
      <c r="K81" s="243"/>
      <c r="L81" s="243"/>
      <c r="M81" s="243"/>
      <c r="N81" s="243"/>
      <c r="O81" s="243"/>
      <c r="P81" s="243"/>
      <c r="Q81" s="243"/>
      <c r="R81" s="243"/>
      <c r="S81" s="243"/>
      <c r="T81" s="243"/>
      <c r="U81" s="243"/>
      <c r="V81" s="243"/>
      <c r="W81" s="243"/>
      <c r="X81" s="243"/>
    </row>
    <row r="82" spans="1:24" ht="26.1" customHeight="1" x14ac:dyDescent="0.25">
      <c r="A82" s="242" t="s">
        <v>212</v>
      </c>
      <c r="B82" s="242"/>
      <c r="C82" s="243"/>
      <c r="D82" s="243"/>
      <c r="E82" s="243"/>
      <c r="F82" s="243"/>
      <c r="G82" s="243"/>
      <c r="H82" s="243"/>
      <c r="I82" s="243"/>
      <c r="J82" s="243"/>
      <c r="K82" s="243"/>
      <c r="L82" s="243"/>
      <c r="M82" s="243"/>
      <c r="N82" s="243"/>
      <c r="O82" s="243"/>
      <c r="P82" s="243"/>
      <c r="Q82" s="243"/>
      <c r="R82" s="243"/>
      <c r="S82" s="243"/>
      <c r="T82" s="243"/>
      <c r="U82" s="243"/>
      <c r="V82" s="243"/>
      <c r="W82" s="243"/>
      <c r="X82" s="243"/>
    </row>
    <row r="83" spans="1:24" s="21" customFormat="1" ht="26.1" customHeight="1" x14ac:dyDescent="0.25">
      <c r="A83" s="242" t="s">
        <v>213</v>
      </c>
      <c r="B83" s="242"/>
      <c r="C83" s="243"/>
      <c r="D83" s="243"/>
      <c r="E83" s="243"/>
      <c r="F83" s="243"/>
      <c r="G83" s="243"/>
      <c r="H83" s="243"/>
      <c r="I83" s="243"/>
      <c r="J83" s="243"/>
      <c r="K83" s="243"/>
      <c r="L83" s="243"/>
      <c r="M83" s="243"/>
      <c r="N83" s="243"/>
      <c r="O83" s="243"/>
      <c r="P83" s="243"/>
      <c r="Q83" s="243"/>
      <c r="R83" s="243"/>
      <c r="S83" s="243"/>
      <c r="T83" s="243"/>
      <c r="U83" s="243"/>
      <c r="V83" s="243"/>
      <c r="W83" s="243"/>
      <c r="X83" s="243"/>
    </row>
    <row r="84" spans="1:24" s="21" customFormat="1" ht="12.75" customHeight="1" x14ac:dyDescent="0.25">
      <c r="A84" s="242" t="s">
        <v>214</v>
      </c>
      <c r="B84" s="242"/>
      <c r="C84" s="243"/>
      <c r="D84" s="243"/>
      <c r="E84" s="243"/>
      <c r="F84" s="243"/>
      <c r="G84" s="243"/>
      <c r="H84" s="243"/>
      <c r="I84" s="243"/>
      <c r="J84" s="243"/>
      <c r="K84" s="243"/>
      <c r="L84" s="243"/>
      <c r="M84" s="243"/>
      <c r="N84" s="243"/>
      <c r="O84" s="243"/>
      <c r="P84" s="243"/>
      <c r="Q84" s="243"/>
      <c r="R84" s="243"/>
      <c r="S84" s="243"/>
      <c r="T84" s="243"/>
      <c r="U84" s="243"/>
      <c r="V84" s="243"/>
      <c r="W84" s="243"/>
      <c r="X84" s="243"/>
    </row>
    <row r="85" spans="1:24" s="21" customFormat="1" x14ac:dyDescent="0.25">
      <c r="A85" s="242" t="s">
        <v>215</v>
      </c>
      <c r="B85" s="242"/>
      <c r="C85" s="243"/>
      <c r="D85" s="243"/>
      <c r="E85" s="243"/>
      <c r="F85" s="243"/>
      <c r="G85" s="243"/>
      <c r="H85" s="243"/>
      <c r="I85" s="243"/>
      <c r="J85" s="243"/>
      <c r="K85" s="243"/>
      <c r="L85" s="243"/>
      <c r="M85" s="243"/>
      <c r="N85" s="243"/>
      <c r="O85" s="243"/>
      <c r="P85" s="243"/>
      <c r="Q85" s="243"/>
      <c r="R85" s="243"/>
      <c r="S85" s="243"/>
      <c r="T85" s="243"/>
      <c r="U85" s="243"/>
      <c r="V85" s="243"/>
      <c r="W85" s="243"/>
      <c r="X85" s="243"/>
    </row>
    <row r="86" spans="1:24" ht="12.75" customHeight="1" x14ac:dyDescent="0.25">
      <c r="A86" s="238" t="s">
        <v>216</v>
      </c>
      <c r="B86" s="238"/>
      <c r="C86" s="239"/>
      <c r="D86" s="239"/>
      <c r="E86" s="239"/>
      <c r="F86" s="239"/>
      <c r="G86" s="239"/>
      <c r="H86" s="239"/>
      <c r="I86" s="239"/>
      <c r="J86" s="239"/>
      <c r="K86" s="239"/>
      <c r="L86" s="239"/>
      <c r="M86" s="239"/>
      <c r="N86" s="239"/>
      <c r="O86" s="239"/>
      <c r="P86" s="239"/>
      <c r="Q86" s="239"/>
      <c r="R86" s="239"/>
      <c r="S86" s="239"/>
      <c r="T86" s="239"/>
      <c r="U86" s="239"/>
      <c r="V86" s="239"/>
      <c r="W86" s="239"/>
      <c r="X86" s="239"/>
    </row>
    <row r="87" spans="1:24" x14ac:dyDescent="0.25">
      <c r="A87" s="242" t="s">
        <v>217</v>
      </c>
      <c r="B87" s="242"/>
      <c r="C87" s="243"/>
      <c r="D87" s="243"/>
      <c r="E87" s="243"/>
      <c r="F87" s="243"/>
      <c r="G87" s="243"/>
      <c r="H87" s="243"/>
      <c r="I87" s="243"/>
      <c r="J87" s="243"/>
      <c r="K87" s="243"/>
      <c r="L87" s="243"/>
      <c r="M87" s="243"/>
      <c r="N87" s="243"/>
      <c r="O87" s="243"/>
      <c r="P87" s="243"/>
      <c r="Q87" s="243"/>
      <c r="R87" s="243"/>
      <c r="S87" s="243"/>
      <c r="T87" s="243"/>
      <c r="U87" s="243"/>
      <c r="V87" s="243"/>
      <c r="W87" s="243"/>
      <c r="X87" s="243"/>
    </row>
    <row r="88" spans="1:24" x14ac:dyDescent="0.25">
      <c r="A88" s="242" t="s">
        <v>218</v>
      </c>
      <c r="B88" s="242"/>
      <c r="C88" s="243"/>
      <c r="D88" s="243"/>
      <c r="E88" s="243"/>
      <c r="F88" s="243"/>
      <c r="G88" s="243"/>
      <c r="H88" s="243"/>
      <c r="I88" s="243"/>
      <c r="J88" s="243"/>
      <c r="K88" s="243"/>
      <c r="L88" s="243"/>
      <c r="M88" s="243"/>
      <c r="N88" s="243"/>
      <c r="O88" s="243"/>
      <c r="P88" s="243"/>
      <c r="Q88" s="243"/>
      <c r="R88" s="243"/>
      <c r="S88" s="243"/>
      <c r="T88" s="243"/>
      <c r="U88" s="243"/>
      <c r="V88" s="243"/>
      <c r="W88" s="243"/>
      <c r="X88" s="243"/>
    </row>
    <row r="90" spans="1:24" x14ac:dyDescent="0.25">
      <c r="A90" s="246" t="s">
        <v>219</v>
      </c>
      <c r="B90" s="246"/>
      <c r="C90" s="247"/>
      <c r="D90" s="247"/>
      <c r="E90" s="247"/>
      <c r="F90" s="247"/>
      <c r="G90" s="247"/>
      <c r="H90" s="247"/>
      <c r="I90" s="247"/>
      <c r="J90" s="247"/>
      <c r="K90" s="247"/>
      <c r="L90" s="247"/>
      <c r="M90" s="247"/>
      <c r="N90" s="247"/>
      <c r="O90" s="247"/>
      <c r="P90" s="247"/>
      <c r="Q90" s="247"/>
      <c r="R90" s="247"/>
      <c r="S90" s="247"/>
      <c r="T90" s="247"/>
      <c r="U90" s="247"/>
      <c r="V90" s="247"/>
      <c r="W90" s="247"/>
      <c r="X90" s="247"/>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42" t="s">
        <v>220</v>
      </c>
      <c r="B92" s="242"/>
      <c r="C92" s="243"/>
      <c r="D92" s="243"/>
      <c r="E92" s="243"/>
      <c r="F92" s="243"/>
      <c r="G92" s="243"/>
      <c r="H92" s="243"/>
      <c r="I92" s="243"/>
      <c r="J92" s="243"/>
      <c r="K92" s="243"/>
      <c r="L92" s="243"/>
      <c r="M92" s="243"/>
      <c r="N92" s="243"/>
      <c r="O92" s="243"/>
      <c r="P92" s="243"/>
      <c r="Q92" s="243"/>
      <c r="R92" s="243"/>
      <c r="S92" s="243"/>
      <c r="T92" s="243"/>
      <c r="U92" s="243"/>
      <c r="V92" s="243"/>
      <c r="W92" s="243"/>
      <c r="X92" s="243"/>
    </row>
    <row r="93" spans="1:24" ht="12.75" customHeight="1" x14ac:dyDescent="0.25">
      <c r="A93" s="238" t="s">
        <v>221</v>
      </c>
      <c r="B93" s="238"/>
      <c r="C93" s="239"/>
      <c r="D93" s="239"/>
      <c r="E93" s="239"/>
      <c r="F93" s="239"/>
      <c r="G93" s="239"/>
      <c r="H93" s="239"/>
      <c r="I93" s="239"/>
      <c r="J93" s="239"/>
      <c r="K93" s="239"/>
      <c r="L93" s="239"/>
      <c r="M93" s="239"/>
      <c r="N93" s="239"/>
      <c r="O93" s="239"/>
      <c r="P93" s="239"/>
      <c r="Q93" s="239"/>
      <c r="R93" s="239"/>
      <c r="S93" s="239"/>
      <c r="T93" s="239"/>
      <c r="U93" s="239"/>
      <c r="V93" s="239"/>
      <c r="W93" s="239"/>
      <c r="X93" s="239"/>
    </row>
    <row r="94" spans="1:24" ht="12.75" customHeight="1" x14ac:dyDescent="0.25">
      <c r="A94" s="242" t="s">
        <v>222</v>
      </c>
      <c r="B94" s="242"/>
      <c r="C94" s="243"/>
      <c r="D94" s="243"/>
      <c r="E94" s="243"/>
      <c r="F94" s="243"/>
      <c r="G94" s="243"/>
      <c r="H94" s="243"/>
      <c r="I94" s="243"/>
      <c r="J94" s="243"/>
      <c r="K94" s="243"/>
      <c r="L94" s="243"/>
      <c r="M94" s="243"/>
      <c r="N94" s="243"/>
      <c r="O94" s="243"/>
      <c r="P94" s="243"/>
      <c r="Q94" s="243"/>
      <c r="R94" s="243"/>
      <c r="S94" s="243"/>
      <c r="T94" s="243"/>
      <c r="U94" s="243"/>
      <c r="V94" s="243"/>
      <c r="W94" s="243"/>
      <c r="X94" s="243"/>
    </row>
    <row r="95" spans="1:24" x14ac:dyDescent="0.25">
      <c r="A95" s="242" t="s">
        <v>223</v>
      </c>
      <c r="B95" s="242"/>
      <c r="C95" s="243"/>
      <c r="D95" s="243"/>
      <c r="E95" s="243"/>
      <c r="F95" s="243"/>
      <c r="G95" s="243"/>
      <c r="H95" s="243"/>
      <c r="I95" s="243"/>
      <c r="J95" s="243"/>
      <c r="K95" s="243"/>
      <c r="L95" s="243"/>
      <c r="M95" s="243"/>
      <c r="N95" s="243"/>
      <c r="O95" s="243"/>
      <c r="P95" s="243"/>
      <c r="Q95" s="243"/>
      <c r="R95" s="243"/>
      <c r="S95" s="243"/>
      <c r="T95" s="243"/>
      <c r="U95" s="243"/>
      <c r="V95" s="243"/>
      <c r="W95" s="243"/>
      <c r="X95" s="243"/>
    </row>
    <row r="96" spans="1:24" ht="12.75" customHeight="1" x14ac:dyDescent="0.25">
      <c r="A96" s="238"/>
      <c r="B96" s="238"/>
      <c r="C96" s="239"/>
      <c r="D96" s="239"/>
      <c r="E96" s="239"/>
      <c r="F96" s="239"/>
      <c r="G96" s="239"/>
      <c r="H96" s="239"/>
      <c r="I96" s="239"/>
      <c r="J96" s="239"/>
      <c r="K96" s="239"/>
      <c r="L96" s="239"/>
      <c r="M96" s="239"/>
      <c r="N96" s="239"/>
      <c r="O96" s="239"/>
      <c r="P96" s="239"/>
      <c r="Q96" s="239"/>
      <c r="R96" s="239"/>
      <c r="S96" s="239"/>
      <c r="T96" s="239"/>
      <c r="U96" s="239"/>
      <c r="V96" s="239"/>
      <c r="W96" s="239"/>
      <c r="X96" s="239"/>
    </row>
    <row r="97" spans="1:24" x14ac:dyDescent="0.25">
      <c r="A97" s="246" t="s">
        <v>224</v>
      </c>
      <c r="B97" s="246"/>
      <c r="C97" s="247"/>
      <c r="D97" s="247"/>
      <c r="E97" s="247"/>
      <c r="F97" s="247"/>
      <c r="G97" s="247"/>
      <c r="H97" s="247"/>
      <c r="I97" s="247"/>
      <c r="J97" s="247"/>
      <c r="K97" s="247"/>
      <c r="L97" s="247"/>
      <c r="M97" s="247"/>
      <c r="N97" s="247"/>
      <c r="O97" s="247"/>
      <c r="P97" s="247"/>
      <c r="Q97" s="247"/>
      <c r="R97" s="247"/>
      <c r="S97" s="247"/>
      <c r="T97" s="247"/>
      <c r="U97" s="247"/>
      <c r="V97" s="247"/>
      <c r="W97" s="247"/>
      <c r="X97" s="247"/>
    </row>
    <row r="98" spans="1:24" ht="12.75" customHeight="1" x14ac:dyDescent="0.25">
      <c r="A98" s="238"/>
      <c r="B98" s="238"/>
      <c r="C98" s="239"/>
      <c r="D98" s="239"/>
      <c r="E98" s="239"/>
      <c r="F98" s="239"/>
      <c r="G98" s="239"/>
      <c r="H98" s="239"/>
      <c r="I98" s="239"/>
      <c r="J98" s="239"/>
      <c r="K98" s="239"/>
      <c r="L98" s="239"/>
      <c r="M98" s="239"/>
      <c r="N98" s="239"/>
      <c r="O98" s="239"/>
      <c r="P98" s="239"/>
      <c r="Q98" s="239"/>
      <c r="R98" s="239"/>
      <c r="S98" s="239"/>
      <c r="T98" s="239"/>
      <c r="U98" s="239"/>
      <c r="V98" s="239"/>
      <c r="W98" s="239"/>
      <c r="X98" s="239"/>
    </row>
    <row r="99" spans="1:24" ht="12.75" customHeight="1" x14ac:dyDescent="0.25">
      <c r="A99" s="242" t="s">
        <v>225</v>
      </c>
      <c r="B99" s="242"/>
      <c r="C99" s="243"/>
      <c r="D99" s="243"/>
      <c r="E99" s="243"/>
      <c r="F99" s="243"/>
      <c r="G99" s="243"/>
      <c r="H99" s="243"/>
      <c r="I99" s="243"/>
      <c r="J99" s="243"/>
      <c r="K99" s="243"/>
      <c r="L99" s="243"/>
      <c r="M99" s="243"/>
      <c r="N99" s="243"/>
      <c r="O99" s="243"/>
      <c r="P99" s="243"/>
      <c r="Q99" s="243"/>
      <c r="R99" s="243"/>
      <c r="S99" s="243"/>
      <c r="T99" s="243"/>
      <c r="U99" s="243"/>
      <c r="V99" s="243"/>
      <c r="W99" s="243"/>
      <c r="X99" s="243"/>
    </row>
    <row r="100" spans="1:24" ht="12.75" customHeight="1" x14ac:dyDescent="0.25">
      <c r="A100" s="242" t="s">
        <v>226</v>
      </c>
      <c r="B100" s="242"/>
      <c r="C100" s="243"/>
      <c r="D100" s="243"/>
      <c r="E100" s="243"/>
      <c r="F100" s="243"/>
      <c r="G100" s="243"/>
      <c r="H100" s="243"/>
      <c r="I100" s="243"/>
      <c r="J100" s="243"/>
      <c r="K100" s="243"/>
      <c r="L100" s="243"/>
      <c r="M100" s="243"/>
      <c r="N100" s="243"/>
      <c r="O100" s="243"/>
      <c r="P100" s="243"/>
      <c r="Q100" s="243"/>
      <c r="R100" s="243"/>
      <c r="S100" s="243"/>
      <c r="T100" s="243"/>
      <c r="U100" s="243"/>
      <c r="V100" s="243"/>
      <c r="W100" s="243"/>
      <c r="X100" s="243"/>
    </row>
    <row r="101" spans="1:24" x14ac:dyDescent="0.25">
      <c r="A101" s="242" t="s">
        <v>227</v>
      </c>
      <c r="B101" s="242"/>
      <c r="C101" s="243"/>
      <c r="D101" s="243"/>
      <c r="E101" s="243"/>
      <c r="F101" s="243"/>
      <c r="G101" s="243"/>
      <c r="H101" s="243"/>
      <c r="I101" s="243"/>
      <c r="J101" s="243"/>
      <c r="K101" s="243"/>
      <c r="L101" s="243"/>
      <c r="M101" s="243"/>
      <c r="N101" s="243"/>
      <c r="O101" s="243"/>
      <c r="P101" s="243"/>
      <c r="Q101" s="243"/>
      <c r="R101" s="243"/>
      <c r="S101" s="243"/>
      <c r="T101" s="243"/>
      <c r="U101" s="243"/>
      <c r="V101" s="243"/>
      <c r="W101" s="243"/>
      <c r="X101" s="243"/>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0.23</v>
      </c>
    </row>
    <row r="109" spans="1:24" x14ac:dyDescent="0.25">
      <c r="A109"/>
      <c r="E109"/>
      <c r="F109"/>
      <c r="G109" s="31"/>
      <c r="H109" s="31"/>
      <c r="L109" s="82" t="s">
        <v>133</v>
      </c>
      <c r="P109" s="31"/>
      <c r="S109" s="208">
        <f ca="1">U38</f>
        <v>0.15</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48" t="str">
        <f>A28</f>
        <v>Nº OPERAÇÃO</v>
      </c>
      <c r="B220" s="250"/>
      <c r="C220" s="248" t="str">
        <f>C28</f>
        <v>GESTOR</v>
      </c>
      <c r="D220" s="249"/>
      <c r="E220" s="250"/>
      <c r="F220" s="248" t="str">
        <f>F28</f>
        <v>PROGRAMA</v>
      </c>
      <c r="G220" s="249"/>
      <c r="H220" s="249"/>
      <c r="I220" s="250"/>
      <c r="J220" s="248" t="str">
        <f>J28</f>
        <v>AÇÃO / MODALIDADE</v>
      </c>
      <c r="K220" s="249"/>
      <c r="L220" s="249"/>
      <c r="M220" s="249"/>
      <c r="N220" s="249"/>
      <c r="O220" s="250"/>
      <c r="P220" s="248" t="str">
        <f>P28</f>
        <v>OBJETO</v>
      </c>
      <c r="Q220" s="249"/>
      <c r="R220" s="249"/>
      <c r="S220" s="249"/>
      <c r="T220" s="249"/>
      <c r="U220" s="249"/>
      <c r="V220" s="249"/>
      <c r="W220" s="249"/>
      <c r="X220" s="250"/>
    </row>
    <row r="221" spans="1:24" ht="12.75" customHeight="1" x14ac:dyDescent="0.25">
      <c r="A221" s="283" t="str">
        <f>IF(A29="","",A29)</f>
        <v/>
      </c>
      <c r="B221" s="285"/>
      <c r="C221" s="283" t="str">
        <f>IF(C29="","",C29)</f>
        <v/>
      </c>
      <c r="D221" s="284"/>
      <c r="E221" s="285"/>
      <c r="F221" s="283" t="str">
        <f>IF(F29="","",F29)</f>
        <v/>
      </c>
      <c r="G221" s="284"/>
      <c r="H221" s="284"/>
      <c r="I221" s="285"/>
      <c r="J221" s="283" t="str">
        <f>IF(J29="","",J29)</f>
        <v/>
      </c>
      <c r="K221" s="284"/>
      <c r="L221" s="284" t="e">
        <f>IF(#REF!="","",#REF!)</f>
        <v>#REF!</v>
      </c>
      <c r="M221" s="284"/>
      <c r="N221" s="284" t="e">
        <f>IF(#REF!="","",#REF!)</f>
        <v>#REF!</v>
      </c>
      <c r="O221" s="285"/>
      <c r="P221" s="283" t="str">
        <f>IF(P29="","",P29)</f>
        <v>PAVIMENTAÇÃO ESTRADA VALE AURORA - TRECHO 5</v>
      </c>
      <c r="Q221" s="284"/>
      <c r="R221" s="284"/>
      <c r="S221" s="284"/>
      <c r="T221" s="284"/>
      <c r="U221" s="284"/>
      <c r="V221" s="284"/>
      <c r="W221" s="284"/>
      <c r="X221" s="285"/>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48" t="str">
        <f>A31</f>
        <v>PROPONENTE / TOMADOR</v>
      </c>
      <c r="B223" s="249"/>
      <c r="C223" s="249"/>
      <c r="D223" s="249"/>
      <c r="E223" s="249"/>
      <c r="F223" s="249"/>
      <c r="G223" s="248" t="str">
        <f>G31</f>
        <v>MUNICÍPIO / UF</v>
      </c>
      <c r="H223" s="249"/>
      <c r="I223" s="249"/>
      <c r="J223" s="250"/>
      <c r="K223" s="248" t="str">
        <f>K31</f>
        <v>LOCALIDADE / ENDEREÇO</v>
      </c>
      <c r="L223" s="249"/>
      <c r="M223" s="249"/>
      <c r="N223" s="249"/>
      <c r="O223" s="249"/>
      <c r="P223" s="250"/>
      <c r="Q223" s="248" t="str">
        <f>Q31</f>
        <v>APELIDO DO EMPREENDIMENTO</v>
      </c>
      <c r="R223" s="249"/>
      <c r="S223" s="249"/>
      <c r="T223" s="249"/>
      <c r="U223" s="249"/>
      <c r="V223" s="249"/>
      <c r="W223" s="249"/>
      <c r="X223" s="250"/>
    </row>
    <row r="224" spans="1:24" ht="12.75" customHeight="1" x14ac:dyDescent="0.25">
      <c r="A224" s="281" t="str">
        <f>IF(A32="","",A32)</f>
        <v>MUNICIPIO DE BENTO GONÇALVES</v>
      </c>
      <c r="B224" s="282"/>
      <c r="C224" s="282"/>
      <c r="D224" s="282"/>
      <c r="E224" s="282"/>
      <c r="F224" s="282"/>
      <c r="G224" s="283" t="str">
        <f>IF(G32="","",G32)</f>
        <v>BENTO GONÇALVES/RS</v>
      </c>
      <c r="H224" s="284" t="str">
        <f>IF(I32="","",I32)</f>
        <v/>
      </c>
      <c r="I224" s="284"/>
      <c r="J224" s="285" t="e">
        <f>IF(#REF!="","",#REF!)</f>
        <v>#REF!</v>
      </c>
      <c r="K224" s="283" t="str">
        <f>IF(K32="","",K32)</f>
        <v xml:space="preserve">DISTRITO DE FARIA LEMOS </v>
      </c>
      <c r="L224" s="284"/>
      <c r="M224" s="284"/>
      <c r="N224" s="284"/>
      <c r="O224" s="284"/>
      <c r="P224" s="285"/>
      <c r="Q224" s="283" t="str">
        <f>IF(Q32="","",Q32)</f>
        <v>PAVIMENTAÇÃO ESTRADA VALE AURORA - TRECHO 5</v>
      </c>
      <c r="R224" s="284"/>
      <c r="S224" s="284"/>
      <c r="T224" s="284"/>
      <c r="U224" s="284"/>
      <c r="V224" s="284"/>
      <c r="W224" s="284"/>
      <c r="X224" s="285"/>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48" t="str">
        <f>A37</f>
        <v>DATA BASE</v>
      </c>
      <c r="B226" s="250"/>
      <c r="C226" s="135" t="str">
        <f>C37</f>
        <v>DESON.</v>
      </c>
      <c r="D226" s="248" t="str">
        <f>D37</f>
        <v>LOCALIDADE DO SINAPI</v>
      </c>
      <c r="E226" s="249"/>
      <c r="F226" s="250"/>
      <c r="G226" s="248" t="str">
        <f>G37</f>
        <v>DESCRIÇÃO DO LOTE</v>
      </c>
      <c r="H226" s="249"/>
      <c r="I226" s="249"/>
      <c r="J226" s="249"/>
      <c r="K226" s="249"/>
      <c r="L226" s="249"/>
      <c r="M226" s="249"/>
      <c r="N226" s="249"/>
      <c r="O226" s="249"/>
      <c r="P226" s="249"/>
      <c r="Q226" s="249"/>
      <c r="R226" s="249"/>
      <c r="S226" s="250"/>
      <c r="T226" s="136" t="str">
        <f>T37</f>
        <v>BDI 1</v>
      </c>
      <c r="U226" s="136" t="str">
        <f>U37</f>
        <v>BDI 2</v>
      </c>
      <c r="V226" s="136" t="str">
        <f>V37</f>
        <v>BDI 3</v>
      </c>
      <c r="W226" s="136" t="str">
        <f>W37</f>
        <v>BDI 4</v>
      </c>
      <c r="X226" s="136" t="str">
        <f>X37</f>
        <v>BDI 5</v>
      </c>
    </row>
    <row r="227" spans="1:24" ht="12.75" hidden="1" customHeight="1" x14ac:dyDescent="0.25">
      <c r="A227" s="288">
        <f>IF(A38="","",A38)</f>
        <v>45575</v>
      </c>
      <c r="B227" s="289"/>
      <c r="C227" s="137" t="str">
        <f t="shared" ref="C227:X227" si="0">IF(C38="","",C38)</f>
        <v>Não</v>
      </c>
      <c r="D227" s="290" t="str">
        <f t="shared" si="0"/>
        <v>Porto Alegre / RS</v>
      </c>
      <c r="E227" s="291" t="str">
        <f t="shared" si="0"/>
        <v/>
      </c>
      <c r="F227" s="292" t="str">
        <f t="shared" si="0"/>
        <v/>
      </c>
      <c r="G227" s="290" t="str">
        <f t="shared" si="0"/>
        <v>PAVIMENTAÇÃO ESTRADA VALE AURORA - TRECHO 5 - LIGAÇÃO FARIA LEMOS AO VALE DOS VINHEDOS</v>
      </c>
      <c r="H227" s="291" t="str">
        <f t="shared" si="0"/>
        <v/>
      </c>
      <c r="I227" s="291" t="str">
        <f t="shared" si="0"/>
        <v/>
      </c>
      <c r="J227" s="291" t="str">
        <f t="shared" si="0"/>
        <v/>
      </c>
      <c r="K227" s="291" t="str">
        <f t="shared" si="0"/>
        <v/>
      </c>
      <c r="L227" s="291" t="str">
        <f t="shared" si="0"/>
        <v/>
      </c>
      <c r="M227" s="291" t="str">
        <f t="shared" si="0"/>
        <v/>
      </c>
      <c r="N227" s="291" t="str">
        <f t="shared" si="0"/>
        <v/>
      </c>
      <c r="O227" s="291" t="str">
        <f t="shared" si="0"/>
        <v/>
      </c>
      <c r="P227" s="291" t="str">
        <f t="shared" si="0"/>
        <v/>
      </c>
      <c r="Q227" s="291" t="str">
        <f t="shared" si="0"/>
        <v/>
      </c>
      <c r="R227" s="291" t="str">
        <f t="shared" si="0"/>
        <v/>
      </c>
      <c r="S227" s="292" t="str">
        <f t="shared" si="0"/>
        <v/>
      </c>
      <c r="T227" s="139">
        <f t="shared" ca="1" si="0"/>
        <v>0.23</v>
      </c>
      <c r="U227" s="96">
        <f t="shared" ca="1" si="0"/>
        <v>0.15</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48" t="s">
        <v>87</v>
      </c>
      <c r="B229" s="250"/>
      <c r="C229" s="248" t="s">
        <v>163</v>
      </c>
      <c r="D229" s="249"/>
      <c r="E229" s="249"/>
      <c r="F229" s="249"/>
      <c r="G229" s="249"/>
      <c r="H229" s="248" t="s">
        <v>16</v>
      </c>
      <c r="I229" s="249"/>
      <c r="J229" s="134" t="s">
        <v>91</v>
      </c>
      <c r="K229" s="248" t="s">
        <v>88</v>
      </c>
      <c r="L229" s="249"/>
      <c r="M229" s="250"/>
      <c r="N229" s="134" t="s">
        <v>92</v>
      </c>
      <c r="O229" s="248" t="s">
        <v>93</v>
      </c>
      <c r="P229" s="249"/>
      <c r="Q229" s="249"/>
      <c r="R229" s="249"/>
      <c r="S229" s="249"/>
      <c r="T229" s="250"/>
      <c r="U229" s="286" t="s">
        <v>89</v>
      </c>
      <c r="V229" s="287"/>
      <c r="W229" s="286" t="s">
        <v>90</v>
      </c>
      <c r="X229" s="287"/>
    </row>
    <row r="230" spans="1:24" s="21" customFormat="1" ht="12.75" customHeight="1" x14ac:dyDescent="0.25">
      <c r="A230" s="290" t="str">
        <f>IF(A43="","",A43)</f>
        <v/>
      </c>
      <c r="B230" s="292"/>
      <c r="C230" s="290" t="str">
        <f>IF(C43="","",C43)</f>
        <v/>
      </c>
      <c r="D230" s="291"/>
      <c r="E230" s="291" t="str">
        <f>IF(E43="","",E43)</f>
        <v/>
      </c>
      <c r="F230" s="291"/>
      <c r="G230" s="291" t="str">
        <f>IF(G43="","",G43)</f>
        <v/>
      </c>
      <c r="H230" s="307" t="str">
        <f>IF(H43="","",H43)</f>
        <v/>
      </c>
      <c r="I230" s="308" t="str">
        <f>IF(I43="","",I43)</f>
        <v/>
      </c>
      <c r="J230" s="138" t="str">
        <f>IF(J43="","",J43)</f>
        <v/>
      </c>
      <c r="K230" s="299" t="str">
        <f>IF(K43="","",K43)</f>
        <v/>
      </c>
      <c r="L230" s="301"/>
      <c r="M230" s="302" t="str">
        <f>IF(M43="","",M43)</f>
        <v/>
      </c>
      <c r="N230" s="140" t="str">
        <f>IF(N43="","",N43)</f>
        <v/>
      </c>
      <c r="O230" s="299" t="str">
        <f>IF(O43="","",O43)</f>
        <v/>
      </c>
      <c r="P230" s="300"/>
      <c r="Q230" s="300" t="str">
        <f>IF(Q43="","",Q43)</f>
        <v/>
      </c>
      <c r="R230" s="301"/>
      <c r="S230" s="301" t="str">
        <f>IF(S43="","",S43)</f>
        <v/>
      </c>
      <c r="T230" s="302"/>
      <c r="U230" s="305" t="str">
        <f>IF(U43="","",U43)</f>
        <v/>
      </c>
      <c r="V230" s="306"/>
      <c r="W230" s="303" t="str">
        <f>IF(W43="","",W43)</f>
        <v/>
      </c>
      <c r="X230" s="304"/>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1" customFormat="1" ht="12.75" hidden="1" customHeight="1" x14ac:dyDescent="0.25"/>
    <row r="242" s="1" customFormat="1" ht="12.75" hidden="1" customHeight="1" x14ac:dyDescent="0.25"/>
    <row r="243" s="1" customFormat="1" ht="12.75" hidden="1" customHeight="1" x14ac:dyDescent="0.25"/>
    <row r="244" s="1" customFormat="1" ht="12.75" customHeight="1" x14ac:dyDescent="0.25"/>
    <row r="245" s="1" customFormat="1" ht="6" customHeight="1" x14ac:dyDescent="0.25"/>
    <row r="246" s="1" customFormat="1" ht="12.75" customHeight="1" x14ac:dyDescent="0.25"/>
    <row r="247" s="1" customFormat="1" ht="12.75" customHeight="1" x14ac:dyDescent="0.25"/>
    <row r="248" s="1" customFormat="1" ht="12.75" customHeight="1" x14ac:dyDescent="0.25"/>
    <row r="249" s="1" customFormat="1" ht="12.75" customHeight="1" x14ac:dyDescent="0.25"/>
    <row r="250" s="1" customFormat="1" ht="6" customHeigh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419" priority="42" stopIfTrue="1">
      <formula>$B54&lt;&gt;""</formula>
    </cfRule>
  </conditionalFormatting>
  <conditionalFormatting sqref="A48 H54:K54 H55:H56 H57:K57 A29:C29 J29 F29 A32 P29 G32 K32">
    <cfRule type="expression" dxfId="418" priority="48" stopIfTrue="1">
      <formula>A29&lt;&gt;""</formula>
    </cfRule>
  </conditionalFormatting>
  <conditionalFormatting sqref="G53:K54 G55:H56 G57:K57">
    <cfRule type="expression" dxfId="417" priority="43" stopIfTrue="1">
      <formula>$K$52&lt;&gt;"SIM"</formula>
    </cfRule>
  </conditionalFormatting>
  <conditionalFormatting sqref="A40:X43">
    <cfRule type="expression" dxfId="416" priority="56" stopIfTrue="1">
      <formula>OR(TipoOrçamento="BASE",TipoOrçamento="REPROGRAMADONPL")</formula>
    </cfRule>
    <cfRule type="expression" dxfId="415" priority="57" stopIfTrue="1">
      <formula>A40&lt;&gt;""</formula>
    </cfRule>
  </conditionalFormatting>
  <conditionalFormatting sqref="A35:X38">
    <cfRule type="expression" dxfId="414" priority="58" stopIfTrue="1">
      <formula>OR(TipoOrçamento="LICITADO",TipoOrçamento="REPROGRAMADOAC")</formula>
    </cfRule>
    <cfRule type="expression" dxfId="413" priority="59" stopIfTrue="1">
      <formula>A35&lt;&gt;""</formula>
    </cfRule>
  </conditionalFormatting>
  <conditionalFormatting sqref="Q32">
    <cfRule type="expression" dxfId="412"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3" zoomScaleSheetLayoutView="100" zoomScalePageLayoutView="70" workbookViewId="0">
      <selection activeCell="N23" sqref="N23"/>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t="str">
        <f>DADOS!P29</f>
        <v>PAVIMENTAÇÃO ESTRADA VALE AURORA - TRECHO 5</v>
      </c>
      <c r="J8" s="349"/>
      <c r="K8" s="349"/>
      <c r="L8" s="349"/>
      <c r="M8" s="349"/>
      <c r="N8" s="349"/>
      <c r="O8" s="349"/>
      <c r="P8" s="349"/>
      <c r="Q8" s="349"/>
      <c r="R8" s="349"/>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9" t="s">
        <v>34</v>
      </c>
      <c r="J11" s="340"/>
      <c r="K11" s="340"/>
      <c r="L11" s="340"/>
      <c r="M11" s="340"/>
      <c r="N11" s="340"/>
      <c r="O11" s="340"/>
      <c r="P11" s="341"/>
      <c r="Q11" s="342" t="str">
        <f>DADOS!$C$38</f>
        <v>Não</v>
      </c>
      <c r="R11" s="343"/>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4.6199999999999998E-2</v>
      </c>
      <c r="O18" s="62" t="s">
        <v>46</v>
      </c>
      <c r="P18" s="63">
        <f>VLOOKUP(CONCATENATE(I$11,"-",M18),$C$2:$G$49,3,FALSE)</f>
        <v>3.7999999999999999E-2</v>
      </c>
      <c r="Q18" s="63">
        <f>VLOOKUP(CONCATENATE(I$11,"-",M18),$C$2:$G$49,4,FALSE)</f>
        <v>4.0099999999999997E-2</v>
      </c>
      <c r="R18" s="63">
        <f>VLOOKUP(CONCATENATE(I$11,"-",M18),$C$2:$G$49,5,FALSE)</f>
        <v>4.6699999999999998E-2</v>
      </c>
      <c r="T18" s="330"/>
      <c r="U18" s="330"/>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7.0000000000000001E-3</v>
      </c>
      <c r="O19" s="62" t="s">
        <v>46</v>
      </c>
      <c r="P19" s="63">
        <f>VLOOKUP(CONCATENATE(I$11,"-",M19),$C$2:$G$49,3,FALSE)</f>
        <v>3.2000000000000002E-3</v>
      </c>
      <c r="Q19" s="63">
        <f>VLOOKUP(CONCATENATE(I$11,"-",M19),$C$2:$G$49,4,FALSE)</f>
        <v>4.0000000000000001E-3</v>
      </c>
      <c r="R19" s="63">
        <f>VLOOKUP(CONCATENATE(I$11,"-",M19),$C$2:$G$49,5,FALSE)</f>
        <v>7.4000000000000003E-3</v>
      </c>
      <c r="T19" s="330"/>
      <c r="U19" s="330"/>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9.4999999999999998E-3</v>
      </c>
      <c r="O20" s="62" t="s">
        <v>46</v>
      </c>
      <c r="P20" s="63">
        <f>VLOOKUP(CONCATENATE(I$11,"-",M20),$C$2:$G$49,3,FALSE)</f>
        <v>5.0000000000000001E-3</v>
      </c>
      <c r="Q20" s="63">
        <f>VLOOKUP(CONCATENATE(I$11,"-",M20),$C$2:$G$49,4,FALSE)</f>
        <v>5.6000000000000008E-3</v>
      </c>
      <c r="R20" s="63">
        <f>VLOOKUP(CONCATENATE(I$11,"-",M20),$C$2:$G$49,5,FALSE)</f>
        <v>9.7000000000000003E-3</v>
      </c>
      <c r="T20" s="330"/>
      <c r="U20" s="330"/>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1.2E-2</v>
      </c>
      <c r="O21" s="62" t="s">
        <v>46</v>
      </c>
      <c r="P21" s="63">
        <f>VLOOKUP(CONCATENATE(I$11,"-",M21),$C$2:$G$49,3,FALSE)</f>
        <v>1.0200000000000001E-2</v>
      </c>
      <c r="Q21" s="63">
        <f>VLOOKUP(CONCATENATE(I$11,"-",M21),$C$2:$G$49,4,FALSE)</f>
        <v>1.11E-2</v>
      </c>
      <c r="R21" s="63">
        <f>VLOOKUP(CONCATENATE(I$11,"-",M21),$C$2:$G$49,5,FALSE)</f>
        <v>1.21E-2</v>
      </c>
      <c r="T21" s="330"/>
      <c r="U21" s="330"/>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8.6499999999999994E-2</v>
      </c>
      <c r="O22" s="62" t="s">
        <v>46</v>
      </c>
      <c r="P22" s="63">
        <f>VLOOKUP(CONCATENATE(I$11,"-",M22),$C$2:$G$49,3,FALSE)</f>
        <v>6.6400000000000001E-2</v>
      </c>
      <c r="Q22" s="63">
        <f>VLOOKUP(CONCATENATE(I$11,"-",M22),$C$2:$G$49,4,FALSE)</f>
        <v>7.2999999999999995E-2</v>
      </c>
      <c r="R22" s="63">
        <f>VLOOKUP(CONCATENATE(I$11,"-",M22),$C$2:$G$49,5,FALSE)</f>
        <v>8.6899999999999991E-2</v>
      </c>
      <c r="T22" s="330"/>
      <c r="U22" s="330"/>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0.23</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0.23</v>
      </c>
      <c r="O27" s="110" t="str">
        <f>IF(Q11&lt;&gt;"Sim","",O26)</f>
        <v/>
      </c>
      <c r="P27" s="320"/>
      <c r="Q27" s="320"/>
      <c r="R27" s="32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5">
      <c r="B30" s="54"/>
      <c r="E30" s="55"/>
      <c r="F30" s="55"/>
      <c r="G30" s="55"/>
      <c r="V30" s="111"/>
    </row>
    <row r="31" spans="1:31" ht="18.75" customHeight="1" x14ac:dyDescent="0.25">
      <c r="B31" s="54"/>
      <c r="E31" s="55"/>
      <c r="F31" s="55"/>
      <c r="G31" s="55"/>
      <c r="I31" s="322" t="s">
        <v>61</v>
      </c>
      <c r="J31" s="322"/>
      <c r="K31" s="322"/>
      <c r="L31" s="322"/>
      <c r="M31" s="322"/>
      <c r="N31" s="322"/>
      <c r="O31" s="322"/>
      <c r="P31" s="322"/>
      <c r="Q31" s="322"/>
      <c r="R31" s="322"/>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23"/>
      <c r="K35" s="323"/>
      <c r="L35" s="323"/>
      <c r="M35" s="323"/>
      <c r="N35" s="323"/>
      <c r="O35" s="323"/>
      <c r="P35" s="323"/>
      <c r="Q35" s="323"/>
      <c r="R35" s="323"/>
    </row>
    <row r="36" spans="1:18" ht="11.25" customHeight="1" x14ac:dyDescent="0.25">
      <c r="B36" s="59"/>
      <c r="E36" s="55"/>
      <c r="F36" s="55"/>
      <c r="G36" s="55"/>
    </row>
    <row r="37" spans="1:18" ht="52.5" customHeight="1" x14ac:dyDescent="0.25">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233</v>
      </c>
      <c r="J40" s="326"/>
      <c r="K40" s="326"/>
      <c r="L40" s="326"/>
      <c r="M40" s="326"/>
      <c r="N40" s="326"/>
      <c r="O40" s="326"/>
      <c r="P40" s="326"/>
      <c r="Q40" s="326"/>
      <c r="R40" s="327"/>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PO!K82</f>
        <v>BENTO GONÇALVES/RS</v>
      </c>
      <c r="J42" s="331"/>
      <c r="K42" s="331"/>
      <c r="L42" s="331"/>
      <c r="O42" s="324">
        <f ca="1">PO!K85</f>
        <v>45812</v>
      </c>
      <c r="P42" s="324"/>
      <c r="Q42" s="324"/>
      <c r="R42" s="324"/>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6">
        <f>DADOS!B54</f>
        <v>0</v>
      </c>
      <c r="K47" s="316"/>
      <c r="L47" s="316"/>
      <c r="M47" s="71"/>
      <c r="N47" s="71"/>
      <c r="O47" s="29" t="s">
        <v>140</v>
      </c>
      <c r="P47" s="329"/>
      <c r="Q47" s="329"/>
      <c r="R47" s="329"/>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6">
        <f>DADOS!B55</f>
        <v>0</v>
      </c>
      <c r="K48" s="316"/>
      <c r="L48" s="316"/>
      <c r="M48" s="71"/>
      <c r="N48" s="71"/>
      <c r="O48" s="29" t="s">
        <v>60</v>
      </c>
      <c r="P48" s="329"/>
      <c r="Q48" s="329"/>
      <c r="R48" s="329"/>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6">
        <f>DADOS!B56</f>
        <v>0</v>
      </c>
      <c r="K49" s="316"/>
      <c r="L49" s="316"/>
      <c r="M49" s="71"/>
      <c r="N49" s="71"/>
      <c r="O49" s="71"/>
      <c r="P49" s="71"/>
      <c r="Q49" s="71"/>
      <c r="R49" s="71"/>
    </row>
    <row r="50" spans="1:18" x14ac:dyDescent="0.25">
      <c r="I50" s="29" t="str">
        <f>DADOS!A57</f>
        <v>CNPJ:</v>
      </c>
      <c r="J50" s="316">
        <f>DADOS!B57</f>
        <v>0</v>
      </c>
      <c r="K50" s="316"/>
      <c r="L50" s="316"/>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411" priority="6" stopIfTrue="1">
      <formula>$O$42=""</formula>
    </cfRule>
  </conditionalFormatting>
  <conditionalFormatting sqref="O18:O27">
    <cfRule type="expression" dxfId="410" priority="11" stopIfTrue="1">
      <formula>AND(O18&lt;&gt;"OK",O18&lt;&gt;"-",O18&lt;&gt;"")</formula>
    </cfRule>
    <cfRule type="cellIs" dxfId="409" priority="12" stopIfTrue="1" operator="equal">
      <formula>"OK"</formula>
    </cfRule>
  </conditionalFormatting>
  <conditionalFormatting sqref="I26:N26">
    <cfRule type="expression" dxfId="408" priority="10" stopIfTrue="1">
      <formula>$Q$11="Não"</formula>
    </cfRule>
  </conditionalFormatting>
  <conditionalFormatting sqref="I27:N27">
    <cfRule type="expression" dxfId="407" priority="9" stopIfTrue="1">
      <formula>$Q$11="sim"</formula>
    </cfRule>
  </conditionalFormatting>
  <conditionalFormatting sqref="P27:R27">
    <cfRule type="expression" dxfId="406" priority="8" stopIfTrue="1">
      <formula>$Q$11="sim"</formula>
    </cfRule>
  </conditionalFormatting>
  <conditionalFormatting sqref="P47:R48">
    <cfRule type="expression" dxfId="405" priority="7" stopIfTrue="1">
      <formula>P47=""</formula>
    </cfRule>
  </conditionalFormatting>
  <conditionalFormatting sqref="I29:R29">
    <cfRule type="expression" dxfId="404" priority="3" stopIfTrue="1">
      <formula>AND(NOT($V$27),NOT($V$29))</formula>
    </cfRule>
  </conditionalFormatting>
  <conditionalFormatting sqref="P18:R26">
    <cfRule type="expression" dxfId="403"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SheetLayoutView="100" zoomScalePageLayoutView="70" workbookViewId="0">
      <selection activeCell="N20" sqref="N20"/>
    </sheetView>
  </sheetViews>
  <sheetFormatPr defaultColWidth="0" defaultRowHeight="12.75" customHeight="1"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2</v>
      </c>
      <c r="Q1"/>
      <c r="R1"/>
    </row>
    <row r="2" spans="1:29" ht="13.2" x14ac:dyDescent="0.25">
      <c r="A2" s="52" t="s">
        <v>28</v>
      </c>
      <c r="B2" s="54" t="s">
        <v>29</v>
      </c>
      <c r="C2" s="52" t="str">
        <f t="shared" ref="C2:C49" si="0">CONCATENATE(A2,"-",B2)</f>
        <v>Construção e Reforma de Edifícios-AC</v>
      </c>
      <c r="E2" s="55">
        <v>0.03</v>
      </c>
      <c r="F2" s="55">
        <v>0.04</v>
      </c>
      <c r="G2" s="55">
        <v>5.5E-2</v>
      </c>
      <c r="Q2"/>
      <c r="R2"/>
    </row>
    <row r="3" spans="1:29" ht="13.2" x14ac:dyDescent="0.25">
      <c r="A3" s="52" t="str">
        <f>A2</f>
        <v>Construção e Reforma de Edifícios</v>
      </c>
      <c r="B3" s="54" t="s">
        <v>30</v>
      </c>
      <c r="C3" s="52" t="str">
        <f t="shared" si="0"/>
        <v>Construção e Reforma de Edifícios-SG</v>
      </c>
      <c r="E3" s="55">
        <v>8.0000000000000002E-3</v>
      </c>
      <c r="F3" s="55">
        <v>8.0000000000000002E-3</v>
      </c>
      <c r="G3" s="55">
        <v>0.01</v>
      </c>
    </row>
    <row r="4" spans="1:29" ht="13.2"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0" t="s">
        <v>150</v>
      </c>
      <c r="J4" s="251"/>
      <c r="K4" s="240" t="s">
        <v>173</v>
      </c>
      <c r="L4" s="241"/>
      <c r="M4" s="241"/>
      <c r="N4" s="241"/>
      <c r="O4" s="241"/>
      <c r="P4" s="241"/>
      <c r="Q4" s="241"/>
      <c r="R4" s="25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4">
        <f>DADOS!A29</f>
        <v>0</v>
      </c>
      <c r="J5" s="345"/>
      <c r="K5" s="346" t="str">
        <f>DADOS!A32</f>
        <v>MUNICIPIO DE BENTO GONÇALVES</v>
      </c>
      <c r="L5" s="347"/>
      <c r="M5" s="347"/>
      <c r="N5" s="347"/>
      <c r="O5" s="347"/>
      <c r="P5" s="347"/>
      <c r="Q5" s="347"/>
      <c r="R5" s="348"/>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0" t="s">
        <v>0</v>
      </c>
      <c r="J7" s="241"/>
      <c r="K7" s="241"/>
      <c r="L7" s="241"/>
      <c r="M7" s="241"/>
      <c r="N7" s="241"/>
      <c r="O7" s="241"/>
      <c r="P7" s="241"/>
      <c r="Q7" s="241"/>
      <c r="R7" s="25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9" t="str">
        <f>DADOS!P29</f>
        <v>PAVIMENTAÇÃO ESTRADA VALE AURORA - TRECHO 5</v>
      </c>
      <c r="J8" s="349"/>
      <c r="K8" s="349"/>
      <c r="L8" s="349"/>
      <c r="M8" s="349"/>
      <c r="N8" s="349"/>
      <c r="O8" s="349"/>
      <c r="P8" s="349"/>
      <c r="Q8" s="349"/>
      <c r="R8" s="349"/>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ht="13.2"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0" t="s">
        <v>35</v>
      </c>
      <c r="J10" s="241"/>
      <c r="K10" s="241"/>
      <c r="L10" s="241"/>
      <c r="M10" s="241"/>
      <c r="N10" s="241"/>
      <c r="O10" s="241"/>
      <c r="P10" s="241"/>
      <c r="Q10" s="240" t="s">
        <v>13</v>
      </c>
      <c r="R10" s="251"/>
    </row>
    <row r="11" spans="1:29" ht="13.2"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9" t="s">
        <v>137</v>
      </c>
      <c r="J11" s="340"/>
      <c r="K11" s="340"/>
      <c r="L11" s="340"/>
      <c r="M11" s="340"/>
      <c r="N11" s="340"/>
      <c r="O11" s="340"/>
      <c r="P11" s="341"/>
      <c r="Q11" s="342" t="str">
        <f>DADOS!$C$38</f>
        <v>Não</v>
      </c>
      <c r="R11" s="343"/>
    </row>
    <row r="12" spans="1:29" ht="13.2"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4" t="s">
        <v>36</v>
      </c>
      <c r="J13" s="354"/>
      <c r="K13" s="354"/>
      <c r="L13" s="354"/>
      <c r="M13" s="354"/>
      <c r="N13" s="354"/>
      <c r="O13" s="354"/>
      <c r="P13" s="354"/>
      <c r="Q13" s="351">
        <v>0.45</v>
      </c>
      <c r="R13" s="351"/>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2" t="s">
        <v>38</v>
      </c>
      <c r="J14" s="352"/>
      <c r="K14" s="352"/>
      <c r="L14" s="352"/>
      <c r="M14" s="352"/>
      <c r="N14" s="352"/>
      <c r="O14" s="352"/>
      <c r="P14" s="352"/>
      <c r="Q14" s="351">
        <v>0.03</v>
      </c>
      <c r="R14" s="351"/>
    </row>
    <row r="15" spans="1:29" ht="13.2"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3" t="s">
        <v>39</v>
      </c>
      <c r="J16" s="353"/>
      <c r="K16" s="353"/>
      <c r="L16" s="353"/>
      <c r="M16" s="353" t="s">
        <v>40</v>
      </c>
      <c r="N16" s="356" t="s">
        <v>41</v>
      </c>
      <c r="O16" s="356" t="s">
        <v>42</v>
      </c>
      <c r="P16" s="355" t="s">
        <v>43</v>
      </c>
      <c r="Q16" s="355" t="s">
        <v>44</v>
      </c>
      <c r="R16" s="333" t="s">
        <v>45</v>
      </c>
      <c r="T16" s="330" t="str">
        <f>IF(V27,"Para BDI fora do intervalo estatístico, deve ser apresentado Relatório Técnico Circunstanciado justificando a adoção do percentual de cada parcela do BDI.","")</f>
        <v/>
      </c>
      <c r="U16" s="330"/>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3"/>
      <c r="J17" s="353"/>
      <c r="K17" s="353"/>
      <c r="L17" s="353"/>
      <c r="M17" s="353"/>
      <c r="N17" s="356"/>
      <c r="O17" s="356"/>
      <c r="P17" s="355"/>
      <c r="Q17" s="355"/>
      <c r="R17" s="333"/>
      <c r="T17" s="330"/>
      <c r="U17" s="330"/>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8" t="str">
        <f>IF($I$11=$A$59,"Encargos Sociais incidentes sobre a mão de obra","Administração Central")</f>
        <v>Administração Central</v>
      </c>
      <c r="J18" s="318"/>
      <c r="K18" s="318"/>
      <c r="L18" s="318"/>
      <c r="M18" s="60" t="str">
        <f>IF($I$11=$A$59,"K1","AC")</f>
        <v>AC</v>
      </c>
      <c r="N18" s="61">
        <v>1.9199999999999998E-2</v>
      </c>
      <c r="O18" s="62" t="s">
        <v>46</v>
      </c>
      <c r="P18" s="63">
        <f>VLOOKUP(CONCATENATE(I$11,"-",M18),$C$2:$G$49,3,FALSE)</f>
        <v>1.4999999999999999E-2</v>
      </c>
      <c r="Q18" s="63">
        <f>VLOOKUP(CONCATENATE(I$11,"-",M18),$C$2:$G$49,4,FALSE)</f>
        <v>3.4500000000000003E-2</v>
      </c>
      <c r="R18" s="63">
        <f>VLOOKUP(CONCATENATE(I$11,"-",M18),$C$2:$G$49,5,FALSE)</f>
        <v>4.4900000000000002E-2</v>
      </c>
      <c r="T18" s="330"/>
      <c r="U18" s="330"/>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8" t="str">
        <f>IF($I$11=$A$59,"Administração Central da empresa ou consultoria - overhead","Seguro e Garantia")</f>
        <v>Seguro e Garantia</v>
      </c>
      <c r="J19" s="318"/>
      <c r="K19" s="318"/>
      <c r="L19" s="318"/>
      <c r="M19" s="60" t="str">
        <f>IF($I$11=$A$59,"K2","SG")</f>
        <v>SG</v>
      </c>
      <c r="N19" s="61">
        <v>4.4999999999999997E-3</v>
      </c>
      <c r="O19" s="62" t="s">
        <v>46</v>
      </c>
      <c r="P19" s="63">
        <f>VLOOKUP(CONCATENATE(I$11,"-",M19),$C$2:$G$49,3,FALSE)</f>
        <v>3.0000000000000001E-3</v>
      </c>
      <c r="Q19" s="63">
        <f>VLOOKUP(CONCATENATE(I$11,"-",M19),$C$2:$G$49,4,FALSE)</f>
        <v>4.7999999999999996E-3</v>
      </c>
      <c r="R19" s="63">
        <f>VLOOKUP(CONCATENATE(I$11,"-",M19),$C$2:$G$49,5,FALSE)</f>
        <v>8.199999999999999E-3</v>
      </c>
      <c r="T19" s="330"/>
      <c r="U19" s="330"/>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8" t="str">
        <f>IF($I$11=$A$59,"","Risco")</f>
        <v>Risco</v>
      </c>
      <c r="J20" s="318"/>
      <c r="K20" s="318"/>
      <c r="L20" s="318"/>
      <c r="M20" s="60" t="str">
        <f>IF($I$11=$A$59,"","R")</f>
        <v>R</v>
      </c>
      <c r="N20" s="61">
        <v>8.0000000000000002E-3</v>
      </c>
      <c r="O20" s="62" t="s">
        <v>46</v>
      </c>
      <c r="P20" s="63">
        <f>VLOOKUP(CONCATENATE(I$11,"-",M20),$C$2:$G$49,3,FALSE)</f>
        <v>5.6000000000000008E-3</v>
      </c>
      <c r="Q20" s="63">
        <f>VLOOKUP(CONCATENATE(I$11,"-",M20),$C$2:$G$49,4,FALSE)</f>
        <v>8.5000000000000006E-3</v>
      </c>
      <c r="R20" s="63">
        <f>VLOOKUP(CONCATENATE(I$11,"-",M20),$C$2:$G$49,5,FALSE)</f>
        <v>8.8999999999999999E-3</v>
      </c>
      <c r="T20" s="330"/>
      <c r="U20" s="330"/>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8" t="str">
        <f>IF($I$11=$A$59,"","Despesas Financeiras")</f>
        <v>Despesas Financeiras</v>
      </c>
      <c r="J21" s="318"/>
      <c r="K21" s="318"/>
      <c r="L21" s="318"/>
      <c r="M21" s="60" t="str">
        <f>IF($I$11=$A$59,"","DF")</f>
        <v>DF</v>
      </c>
      <c r="N21" s="61">
        <v>8.5000000000000006E-3</v>
      </c>
      <c r="O21" s="62" t="s">
        <v>46</v>
      </c>
      <c r="P21" s="63">
        <f>VLOOKUP(CONCATENATE(I$11,"-",M21),$C$2:$G$49,3,FALSE)</f>
        <v>8.5000000000000006E-3</v>
      </c>
      <c r="Q21" s="63">
        <f>VLOOKUP(CONCATENATE(I$11,"-",M21),$C$2:$G$49,4,FALSE)</f>
        <v>8.5000000000000006E-3</v>
      </c>
      <c r="R21" s="63">
        <f>VLOOKUP(CONCATENATE(I$11,"-",M21),$C$2:$G$49,5,FALSE)</f>
        <v>1.11E-2</v>
      </c>
      <c r="T21" s="330"/>
      <c r="U21" s="330"/>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8" t="str">
        <f>IF($I$11=$A$59,"Margem bruta da empresa de consultoria","Lucro")</f>
        <v>Lucro</v>
      </c>
      <c r="J22" s="318"/>
      <c r="K22" s="318"/>
      <c r="L22" s="318"/>
      <c r="M22" s="60" t="str">
        <f>IF($I$11=$A$59,"K3","L")</f>
        <v>L</v>
      </c>
      <c r="N22" s="61">
        <v>0.05</v>
      </c>
      <c r="O22" s="62" t="s">
        <v>46</v>
      </c>
      <c r="P22" s="63">
        <f>VLOOKUP(CONCATENATE(I$11,"-",M22),$C$2:$G$49,3,FALSE)</f>
        <v>3.5000000000000003E-2</v>
      </c>
      <c r="Q22" s="63">
        <f>VLOOKUP(CONCATENATE(I$11,"-",M22),$C$2:$G$49,4,FALSE)</f>
        <v>5.1100000000000007E-2</v>
      </c>
      <c r="R22" s="63">
        <f>VLOOKUP(CONCATENATE(I$11,"-",M22),$C$2:$G$49,5,FALSE)</f>
        <v>6.2199999999999998E-2</v>
      </c>
      <c r="T22" s="330"/>
      <c r="U22" s="330"/>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2" t="s">
        <v>48</v>
      </c>
      <c r="J23" s="332"/>
      <c r="K23" s="332"/>
      <c r="L23" s="332"/>
      <c r="M23" s="60" t="s">
        <v>49</v>
      </c>
      <c r="N23" s="61">
        <v>3.6499999999999998E-2</v>
      </c>
      <c r="O23" s="62" t="s">
        <v>46</v>
      </c>
      <c r="P23" s="63">
        <v>3.6499999999999998E-2</v>
      </c>
      <c r="Q23" s="63">
        <v>3.6499999999999998E-2</v>
      </c>
      <c r="R23" s="63">
        <v>3.6499999999999998E-2</v>
      </c>
      <c r="T23" s="330"/>
      <c r="U23" s="330"/>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8" t="s">
        <v>50</v>
      </c>
      <c r="J24" s="318"/>
      <c r="K24" s="318"/>
      <c r="L24" s="318"/>
      <c r="M24" s="60" t="s">
        <v>51</v>
      </c>
      <c r="N24" s="63">
        <f>IF($I$11&lt;&gt;$A$58,Q14*Q13,0)</f>
        <v>1.35E-2</v>
      </c>
      <c r="O24" s="62" t="s">
        <v>46</v>
      </c>
      <c r="P24" s="63">
        <v>0</v>
      </c>
      <c r="Q24" s="63">
        <v>2.5000000000000001E-2</v>
      </c>
      <c r="R24" s="63">
        <v>0.05</v>
      </c>
      <c r="T24" s="330"/>
      <c r="U24" s="330"/>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8" t="s">
        <v>116</v>
      </c>
      <c r="J25" s="318"/>
      <c r="K25" s="318"/>
      <c r="L25" s="31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8" t="s">
        <v>53</v>
      </c>
      <c r="J26" s="318"/>
      <c r="K26" s="318"/>
      <c r="L26" s="318"/>
      <c r="M26" s="65" t="s">
        <v>33</v>
      </c>
      <c r="N26" s="63">
        <f>IF($I$11=$A$58,0,ROUND((((1+N18+N19+N20)*(1+N21)*(1+N22)/(1-(N23+N24)))-1),4))</f>
        <v>0.15</v>
      </c>
      <c r="O26" s="234" t="str">
        <f>IF(OR($I$11=$A$59,$I$11=$A$58,AND(N26&gt;=P26, N26&lt;=R26)), "OK", "FORA DO INTERVALO")</f>
        <v>OK</v>
      </c>
      <c r="P26" s="63">
        <f>IF($I$11=$A$58,0,VLOOKUP(CONCATENATE($I$11,"-",$M26),$C$2:$G$49,3,FALSE))</f>
        <v>0.111</v>
      </c>
      <c r="Q26" s="63">
        <f>IF($I$11=$A$58,0,VLOOKUP(CONCATENATE($I$11,"-",$M26),$C$2:$G$49,4,FALSE))</f>
        <v>0.14019999999999999</v>
      </c>
      <c r="R26" s="63">
        <f>IF($I$11=$A$58,0,VLOOKUP(CONCATENATE($I$11,"-",$M26),$C$2:$G$49,5,FALSE))</f>
        <v>0.16800000000000001</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9" t="s">
        <v>55</v>
      </c>
      <c r="J27" s="319"/>
      <c r="K27" s="319"/>
      <c r="L27" s="319"/>
      <c r="M27" s="66" t="s">
        <v>56</v>
      </c>
      <c r="N27" s="67">
        <f>IF($I$11=$A$58,0,ROUND((((1+N18+N19+N20)*(1+N21)*(1+N22)/(1-(N23+N24+N25)))-1),4))</f>
        <v>0.15</v>
      </c>
      <c r="O27" s="110" t="str">
        <f>IF(Q11&lt;&gt;"Sim","",O26)</f>
        <v/>
      </c>
      <c r="P27" s="320"/>
      <c r="Q27" s="320"/>
      <c r="R27" s="32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7" t="s">
        <v>117</v>
      </c>
      <c r="K29" s="317"/>
      <c r="L29" s="317"/>
      <c r="M29" s="317"/>
      <c r="N29" s="317"/>
      <c r="O29" s="317"/>
      <c r="P29" s="317"/>
      <c r="Q29" s="317"/>
      <c r="R29" s="317"/>
      <c r="V29" s="111" t="b">
        <v>0</v>
      </c>
      <c r="W29" s="52" t="s">
        <v>119</v>
      </c>
    </row>
    <row r="30" spans="1:31" ht="7.5" customHeight="1" x14ac:dyDescent="0.25">
      <c r="B30" s="54"/>
      <c r="E30" s="55"/>
      <c r="F30" s="55"/>
      <c r="G30" s="55"/>
      <c r="V30" s="111"/>
    </row>
    <row r="31" spans="1:31" ht="18.75" customHeight="1" x14ac:dyDescent="0.25">
      <c r="B31" s="54"/>
      <c r="E31" s="55"/>
      <c r="F31" s="55"/>
      <c r="G31" s="55"/>
      <c r="I31" s="322" t="s">
        <v>61</v>
      </c>
      <c r="J31" s="322"/>
      <c r="K31" s="322"/>
      <c r="L31" s="322"/>
      <c r="M31" s="322"/>
      <c r="N31" s="322"/>
      <c r="O31" s="322"/>
      <c r="P31" s="322"/>
      <c r="Q31" s="322"/>
      <c r="R31" s="322"/>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8" t="str">
        <f>IF(Q11="Sim","BDI.DES =","BDI.PAD =")</f>
        <v>BDI.PAD =</v>
      </c>
      <c r="M32" s="336" t="str">
        <f>IF($I$11=$A$59,"(1+K1+K2)*(1+K3)","(1+AC + S + R + G)*(1 + DF)*(1+L)")</f>
        <v>(1+AC + S + R + G)*(1 + DF)*(1+L)</v>
      </c>
      <c r="N32" s="336"/>
      <c r="O32" s="336"/>
      <c r="P32" s="334"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8"/>
      <c r="M33" s="337" t="str">
        <f>IF(Q11="Sim","(1-CP-ISS-CRPB)","(1-CP-ISS)")</f>
        <v>(1-CP-ISS)</v>
      </c>
      <c r="N33" s="337"/>
      <c r="O33" s="337"/>
      <c r="P33" s="335"/>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3"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45%, com a respectiva alíquota de 3%.</v>
      </c>
      <c r="J35" s="323"/>
      <c r="K35" s="323"/>
      <c r="L35" s="323"/>
      <c r="M35" s="323"/>
      <c r="N35" s="323"/>
      <c r="O35" s="323"/>
      <c r="P35" s="323"/>
      <c r="Q35" s="323"/>
      <c r="R35" s="323"/>
    </row>
    <row r="36" spans="1:18" ht="11.25" customHeight="1" x14ac:dyDescent="0.25">
      <c r="B36" s="59"/>
      <c r="E36" s="55"/>
      <c r="F36" s="55"/>
      <c r="G36" s="55"/>
    </row>
    <row r="37" spans="1:18" ht="52.5" customHeight="1" x14ac:dyDescent="0.25">
      <c r="B37" s="59"/>
      <c r="E37" s="55"/>
      <c r="F37" s="55"/>
      <c r="G37" s="55"/>
      <c r="I37" s="32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3"/>
      <c r="K37" s="323"/>
      <c r="L37" s="323"/>
      <c r="M37" s="323"/>
      <c r="N37" s="323"/>
      <c r="O37" s="323"/>
      <c r="P37" s="323"/>
      <c r="Q37" s="323"/>
      <c r="R37" s="323"/>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ht="13.2"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5" t="s">
        <v>233</v>
      </c>
      <c r="J40" s="326"/>
      <c r="K40" s="326"/>
      <c r="L40" s="326"/>
      <c r="M40" s="326"/>
      <c r="N40" s="326"/>
      <c r="O40" s="326"/>
      <c r="P40" s="326"/>
      <c r="Q40" s="326"/>
      <c r="R40" s="327"/>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ht="13.2"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1" t="str">
        <f>PO!K82</f>
        <v>BENTO GONÇALVES/RS</v>
      </c>
      <c r="J42" s="331"/>
      <c r="K42" s="331"/>
      <c r="L42" s="331"/>
      <c r="O42" s="324">
        <f ca="1">PO!K85</f>
        <v>45812</v>
      </c>
      <c r="P42" s="324"/>
      <c r="Q42" s="324"/>
      <c r="R42" s="324"/>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0" t="s">
        <v>120</v>
      </c>
      <c r="J43" s="350"/>
      <c r="K43" s="350"/>
      <c r="L43" s="350"/>
      <c r="N43" s="68"/>
      <c r="O43" s="144" t="s">
        <v>121</v>
      </c>
      <c r="P43" s="145"/>
      <c r="Q43" s="145"/>
      <c r="R43" s="145"/>
    </row>
    <row r="44" spans="1:18" ht="13.2"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21"/>
      <c r="J45" s="321"/>
      <c r="K45" s="321"/>
      <c r="L45" s="321"/>
      <c r="M45" s="69"/>
      <c r="N45" s="69"/>
      <c r="O45" s="321"/>
      <c r="P45" s="321"/>
      <c r="Q45" s="321"/>
      <c r="R45" s="321"/>
    </row>
    <row r="46" spans="1:18" ht="13.2"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8" t="s">
        <v>57</v>
      </c>
      <c r="J46" s="328"/>
      <c r="K46" s="328"/>
      <c r="L46" s="328"/>
      <c r="M46" s="70"/>
      <c r="N46" s="70"/>
      <c r="O46" s="328" t="s">
        <v>58</v>
      </c>
      <c r="P46" s="328"/>
      <c r="Q46" s="328"/>
      <c r="R46" s="328"/>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3" t="s">
        <v>140</v>
      </c>
      <c r="J47" s="316">
        <f>DADOS!B54</f>
        <v>0</v>
      </c>
      <c r="K47" s="316"/>
      <c r="L47" s="316"/>
      <c r="M47" s="71"/>
      <c r="N47" s="71"/>
      <c r="O47" s="233" t="s">
        <v>140</v>
      </c>
      <c r="P47" s="329"/>
      <c r="Q47" s="329"/>
      <c r="R47" s="329"/>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3" t="s">
        <v>17</v>
      </c>
      <c r="J48" s="316">
        <f>DADOS!B55</f>
        <v>0</v>
      </c>
      <c r="K48" s="316"/>
      <c r="L48" s="316"/>
      <c r="M48" s="71"/>
      <c r="N48" s="71"/>
      <c r="O48" s="233" t="s">
        <v>60</v>
      </c>
      <c r="P48" s="329"/>
      <c r="Q48" s="329"/>
      <c r="R48" s="329"/>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3" t="str">
        <f>DADOS!A56</f>
        <v>Empresa:</v>
      </c>
      <c r="J49" s="316">
        <f>DADOS!B56</f>
        <v>0</v>
      </c>
      <c r="K49" s="316"/>
      <c r="L49" s="316"/>
      <c r="M49" s="71"/>
      <c r="N49" s="71"/>
      <c r="O49" s="71"/>
      <c r="P49" s="71"/>
      <c r="Q49" s="71"/>
      <c r="R49" s="71"/>
    </row>
    <row r="50" spans="1:18" ht="13.2" x14ac:dyDescent="0.25">
      <c r="I50" s="233" t="str">
        <f>DADOS!A57</f>
        <v>CNPJ:</v>
      </c>
      <c r="J50" s="316">
        <f>DADOS!B57</f>
        <v>0</v>
      </c>
      <c r="K50" s="316"/>
      <c r="L50" s="316"/>
    </row>
    <row r="51" spans="1:18" ht="13.2" x14ac:dyDescent="0.25"/>
    <row r="52" spans="1:18" ht="13.2" hidden="1" x14ac:dyDescent="0.25">
      <c r="A52" s="52" t="s">
        <v>28</v>
      </c>
    </row>
    <row r="53" spans="1:18" ht="13.2" hidden="1" x14ac:dyDescent="0.25">
      <c r="A53" s="52" t="s">
        <v>34</v>
      </c>
    </row>
    <row r="54" spans="1:18" ht="13.2" hidden="1" x14ac:dyDescent="0.25">
      <c r="A54" s="52" t="s">
        <v>37</v>
      </c>
    </row>
    <row r="55" spans="1:18" ht="13.2" hidden="1" x14ac:dyDescent="0.25">
      <c r="A55" s="52" t="s">
        <v>47</v>
      </c>
    </row>
    <row r="56" spans="1:18" ht="13.2" hidden="1" x14ac:dyDescent="0.25">
      <c r="A56" s="52" t="s">
        <v>54</v>
      </c>
    </row>
    <row r="57" spans="1:18" ht="13.2" hidden="1" x14ac:dyDescent="0.25">
      <c r="A57" s="52" t="s">
        <v>137</v>
      </c>
    </row>
    <row r="58" spans="1:18" ht="13.2" hidden="1" x14ac:dyDescent="0.25">
      <c r="A58" s="52" t="s">
        <v>138</v>
      </c>
    </row>
    <row r="59" spans="1:18" ht="13.2"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402" priority="3" stopIfTrue="1">
      <formula>$O$42=""</formula>
    </cfRule>
  </conditionalFormatting>
  <conditionalFormatting sqref="O18:O27">
    <cfRule type="expression" dxfId="401" priority="8" stopIfTrue="1">
      <formula>AND(O18&lt;&gt;"OK",O18&lt;&gt;"-",O18&lt;&gt;"")</formula>
    </cfRule>
    <cfRule type="cellIs" dxfId="400" priority="9" stopIfTrue="1" operator="equal">
      <formula>"OK"</formula>
    </cfRule>
  </conditionalFormatting>
  <conditionalFormatting sqref="I26:N26">
    <cfRule type="expression" dxfId="399" priority="7" stopIfTrue="1">
      <formula>$Q$11="Não"</formula>
    </cfRule>
  </conditionalFormatting>
  <conditionalFormatting sqref="I27:N27">
    <cfRule type="expression" dxfId="398" priority="6" stopIfTrue="1">
      <formula>$Q$11="sim"</formula>
    </cfRule>
  </conditionalFormatting>
  <conditionalFormatting sqref="P27:R27">
    <cfRule type="expression" dxfId="397" priority="5" stopIfTrue="1">
      <formula>$Q$11="sim"</formula>
    </cfRule>
  </conditionalFormatting>
  <conditionalFormatting sqref="P47:R48">
    <cfRule type="expression" dxfId="396" priority="4" stopIfTrue="1">
      <formula>P47=""</formula>
    </cfRule>
  </conditionalFormatting>
  <conditionalFormatting sqref="I29:R29">
    <cfRule type="expression" dxfId="395" priority="2" stopIfTrue="1">
      <formula>AND(NOT($V$27),NOT($V$29))</formula>
    </cfRule>
  </conditionalFormatting>
  <conditionalFormatting sqref="P18:R26">
    <cfRule type="expression" dxfId="394"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86"/>
  <sheetViews>
    <sheetView showGridLines="0" tabSelected="1" topLeftCell="J1" zoomScale="80" zoomScaleNormal="80" zoomScaleSheetLayoutView="80" workbookViewId="0">
      <pane ySplit="12" topLeftCell="A31" activePane="bottomLeft" state="frozen"/>
      <selection pane="bottomLeft" activeCell="Y13" sqref="Y13:Y70"/>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7" t="s">
        <v>181</v>
      </c>
      <c r="X2" s="357"/>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MAX($A$12:$A$71)</f>
        <v>1</v>
      </c>
      <c r="B5" s="4"/>
      <c r="D5" s="117"/>
      <c r="F5" s="5"/>
      <c r="G5" s="4"/>
      <c r="H5" s="4"/>
      <c r="I5" s="4"/>
      <c r="J5" s="4"/>
      <c r="K5" s="4"/>
      <c r="L5" s="4"/>
      <c r="M5" s="4"/>
      <c r="N5" s="4"/>
      <c r="O5" s="4"/>
      <c r="P5" s="4"/>
      <c r="Q5" s="4"/>
      <c r="R5" s="4"/>
      <c r="S5" s="4"/>
      <c r="T5" s="4"/>
      <c r="U5" s="119" t="str">
        <f ca="1">IF(COUNTIF($U$12:OFFSET($U$71,-1,0),"DESCRIÇÃO")+COUNTIF($U$12:OFFSET($U$71,-1,0),"UNIDADE")+COUNTIF($U$12:OFFSET($U$71,-1,0),"SEM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IF(OR($A11="S",$A11=0),0,MATCH(0,OFFSET($B11,1,$A11,ROW($A$71)-ROW($A11)),0))</f>
        <v>0</v>
      </c>
      <c r="I11">
        <f ca="1">IF(OR($A11="S",$A11=0),0,MATCH(OFFSET($B11,0,$A11)+1,OFFSET($B11,1,$A11,ROW($A$71)-ROW($A11)),0))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v>
      </c>
      <c r="AA11" s="4"/>
    </row>
    <row r="12" spans="1:27" ht="26.4" x14ac:dyDescent="0.25">
      <c r="A12">
        <v>0</v>
      </c>
      <c r="B12">
        <f ca="1">COUNTA(OFFSET(B12,1,0):B$71)</f>
        <v>58</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SUMIF(OFFSET($J12,1,0,ROW(T71)-ROW(T12)-1),"Serviço",OFFSET(T12,1,0,ROW(T71)-ROW(T12)-1))</f>
        <v>0</v>
      </c>
      <c r="U12" s="13" t="str">
        <f>IF($N12=0,"DESCRIÇÃO","")</f>
        <v>DESCRIÇÃO</v>
      </c>
      <c r="V12" s="4">
        <v>0</v>
      </c>
      <c r="W12" s="4"/>
      <c r="X12" s="4"/>
      <c r="Y12" s="11"/>
      <c r="Z12" s="133"/>
      <c r="AA12" s="4"/>
    </row>
    <row r="13" spans="1:27" x14ac:dyDescent="0.25">
      <c r="A13">
        <f t="shared" ref="A13:A16" si="0">CHOOSE(1+LOG(1+2*(J13="Meta")+4*(J13="Nível 2")+8*(J13="Nível 3")+16*(J13="Nível 4")+32*(J13="Serviço"),2),0,1,2,3,4,"S")</f>
        <v>1</v>
      </c>
      <c r="B13">
        <f t="shared" ref="B13:B16" ca="1" si="1">IF(OR(A13="S",A13=0),0,IF(ISERROR(I13),H13,SMALL(H13:I13,1)))</f>
        <v>6</v>
      </c>
      <c r="C13">
        <f t="shared" ref="C13:C16" ca="1" si="2">IF($A13=1,OFFSET(C13,-1,0)+1,OFFSET(C13,-1,0))</f>
        <v>1</v>
      </c>
      <c r="D13">
        <f t="shared" ref="D13:D16" ca="1" si="3">IF($A13=1,0,IF($A13=2,OFFSET(D13,-1,0)+1,OFFSET(D13,-1,0)))</f>
        <v>0</v>
      </c>
      <c r="E13">
        <f t="shared" ref="E13:E16" ca="1" si="4">IF(AND($A13&lt;=2,$A13&lt;&gt;0),0,IF($A13=3,OFFSET(E13,-1,0)+1,OFFSET(E13,-1,0)))</f>
        <v>0</v>
      </c>
      <c r="F13">
        <f t="shared" ref="F13:F16" ca="1" si="5">IF(AND($A13&lt;=3,$A13&lt;&gt;0),0,IF($A13=4,OFFSET(F13,-1,0)+1,OFFSET(F13,-1,0)))</f>
        <v>0</v>
      </c>
      <c r="G13">
        <f t="shared" ref="G13:G16" ca="1" si="6">IF(AND($A13&lt;=4,$A13&lt;&gt;0),0,IF($A13="S",OFFSET(G13,-1,0)+1,OFFSET(G13,-1,0)))</f>
        <v>0</v>
      </c>
      <c r="H13">
        <f t="shared" ref="H13:H44" ca="1" si="7">IF(OR($A13="S",$A13=0),0,MATCH(0,OFFSET($B13,1,$A13,ROW($A$71)-ROW($A13)),0))</f>
        <v>58</v>
      </c>
      <c r="I13">
        <f t="shared" ref="I13:I44" ca="1" si="8">IF(OR($A13="S",$A13=0),0,MATCH(OFFSET($B13,0,$A13)+1,OFFSET($B13,1,$A13,ROW($A$71)-ROW($A13)),0))</f>
        <v>6</v>
      </c>
      <c r="J13" s="164" t="s">
        <v>99</v>
      </c>
      <c r="K13" s="162" t="str">
        <f t="shared" ref="K13:K16" ca="1" si="9">IF($A13=0,"-",CONCATENATE(C13&amp;".",IF(AND($A$5&gt;=2,$A13&gt;=2),D13&amp;".",""),IF(AND($A$5&gt;=3,$A13&gt;=3),E13&amp;".",""),IF(AND($A$5&gt;=4,$A13&gt;=4),F13&amp;".",""),IF($A13="S",G13&amp;".","")))</f>
        <v>1.</v>
      </c>
      <c r="L13" s="396"/>
      <c r="M13" s="396"/>
      <c r="N13" s="397" t="s">
        <v>232</v>
      </c>
      <c r="O13" s="398"/>
      <c r="P13" s="399">
        <v>0</v>
      </c>
      <c r="Q13" s="228"/>
      <c r="R13" s="231" t="s">
        <v>7</v>
      </c>
      <c r="S13" s="121">
        <f t="shared" ref="S13:S16" si="10">IF($A13="S",IF($Q$10="Preço Unitário (R$)",PO.CustoUnitario,ROUND(PO.CustoUnitario*(1+$Z13),15-13*$X$6)),0)</f>
        <v>0</v>
      </c>
      <c r="T13" s="98">
        <f t="shared" ref="T13:T16" ca="1" si="11">IF($A13="S",VTOTAL1,IF($A13=0,0,ROUND(SomaAgrup,15-13*$X$7)))</f>
        <v>0</v>
      </c>
      <c r="U13" s="13" t="str">
        <f t="shared" ref="U13:U16" ca="1" si="12">IF($J13="","",IF($N13="","DESCRIÇÃO",IF(AND($J13="Serviço",$O13=""),"UNIDADE",IF($T13&lt;=0,"SEM VALOR",IF(AND($Y13&lt;&gt;"",$Q13&gt;$Y13),"ACIMA REF.","")))))</f>
        <v>SEM VALOR</v>
      </c>
      <c r="V13" s="4">
        <f ca="1">IF(OR($A13=0,$A13="S",$A13&gt;CFF!$A$9),"",MAX(V$12:OFFSET(V13,-1,0))+1)</f>
        <v>1</v>
      </c>
      <c r="W13" s="9" t="b">
        <f t="shared" ref="W13:W16" si="13">IF(AND($J13="Serviço",$M13&lt;&gt;""),IF($L13="",$M13,CONCATENATE($L13,"-",$M13)))</f>
        <v>0</v>
      </c>
      <c r="X13" s="4" t="str">
        <f t="shared" ref="X13:X16" ca="1" si="14">IF(AND(Fonte&lt;&gt;"",Código&lt;&gt;""),MATCH(Fonte&amp;" "&amp;IF(Fonte="sinapi",SUBSTITUTE(SUBSTITUTE(Código,"/00","/"),"/0","/"),Código),INDIRECT("'[Referência "&amp;_xlnm.Database&amp;".xls]Banco'!$a:$a"),0),"X")</f>
        <v>X</v>
      </c>
      <c r="Y13" s="121">
        <v>0</v>
      </c>
      <c r="Z13" s="132">
        <f ca="1">ROUND(IF(ISNUMBER(R13),R13,IF(LEFT(R13,3)="BDI",HLOOKUP(R13,DADOS!$T$37:$X$38,2,FALSE),0)),15-11*$X$5)</f>
        <v>0.23</v>
      </c>
      <c r="AA13" s="4"/>
    </row>
    <row r="14" spans="1:27" x14ac:dyDescent="0.25">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95" t="s">
        <v>103</v>
      </c>
      <c r="K14" s="162" t="str">
        <f t="shared" ca="1" si="9"/>
        <v>1.1.</v>
      </c>
      <c r="L14" s="396" t="s">
        <v>240</v>
      </c>
      <c r="M14" s="396" t="s">
        <v>248</v>
      </c>
      <c r="N14" s="397" t="s">
        <v>285</v>
      </c>
      <c r="O14" s="398" t="s">
        <v>286</v>
      </c>
      <c r="P14" s="399">
        <v>4.5</v>
      </c>
      <c r="Q14" s="228"/>
      <c r="R14" s="231" t="s">
        <v>7</v>
      </c>
      <c r="S14" s="121">
        <f t="shared" si="10"/>
        <v>0</v>
      </c>
      <c r="T14" s="98">
        <f t="shared" si="11"/>
        <v>0</v>
      </c>
      <c r="U14" s="13" t="str">
        <f t="shared" si="12"/>
        <v>SEM VALOR</v>
      </c>
      <c r="V14" s="4" t="str">
        <f ca="1">IF(OR($A14=0,$A14="S",$A14&gt;CFF!$A$9),"",MAX(V$12:OFFSET(V14,-1,0))+1)</f>
        <v/>
      </c>
      <c r="W14" s="9" t="str">
        <f t="shared" si="13"/>
        <v>PM BENTO-01</v>
      </c>
      <c r="X14" s="4">
        <f t="shared" ca="1" si="14"/>
        <v>7</v>
      </c>
      <c r="Y14" s="121">
        <v>606.89</v>
      </c>
      <c r="Z14" s="132">
        <f ca="1">ROUND(IF(ISNUMBER(R14),R14,IF(LEFT(R14,3)="BDI",HLOOKUP(R14,DADOS!$T$37:$X$38,2,FALSE),0)),15-11*$X$5)</f>
        <v>0.23</v>
      </c>
      <c r="AA14" s="4"/>
    </row>
    <row r="15" spans="1:27" x14ac:dyDescent="0.25">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95" t="s">
        <v>103</v>
      </c>
      <c r="K15" s="162" t="str">
        <f t="shared" ca="1" si="9"/>
        <v>1.2.</v>
      </c>
      <c r="L15" s="396" t="s">
        <v>240</v>
      </c>
      <c r="M15" s="396" t="s">
        <v>246</v>
      </c>
      <c r="N15" s="397" t="s">
        <v>287</v>
      </c>
      <c r="O15" s="398" t="s">
        <v>241</v>
      </c>
      <c r="P15" s="399">
        <v>1000</v>
      </c>
      <c r="Q15" s="228"/>
      <c r="R15" s="231" t="s">
        <v>7</v>
      </c>
      <c r="S15" s="121">
        <f t="shared" si="10"/>
        <v>0</v>
      </c>
      <c r="T15" s="98">
        <f t="shared" si="11"/>
        <v>0</v>
      </c>
      <c r="U15" s="13" t="str">
        <f t="shared" si="12"/>
        <v>SEM VALOR</v>
      </c>
      <c r="V15" s="4" t="str">
        <f ca="1">IF(OR($A15=0,$A15="S",$A15&gt;CFF!$A$9),"",MAX(V$12:OFFSET(V15,-1,0))+1)</f>
        <v/>
      </c>
      <c r="W15" s="9" t="str">
        <f t="shared" si="13"/>
        <v>PM BENTO-02</v>
      </c>
      <c r="X15" s="4">
        <f t="shared" ca="1" si="14"/>
        <v>8</v>
      </c>
      <c r="Y15" s="121">
        <v>9.1999999999999993</v>
      </c>
      <c r="Z15" s="132">
        <f ca="1">ROUND(IF(ISNUMBER(R15),R15,IF(LEFT(R15,3)="BDI",HLOOKUP(R15,DADOS!$T$37:$X$38,2,FALSE),0)),15-11*$X$5)</f>
        <v>0.23</v>
      </c>
      <c r="AA15" s="4"/>
    </row>
    <row r="16" spans="1:27" ht="26.4" x14ac:dyDescent="0.25">
      <c r="A16" t="str">
        <f t="shared" si="0"/>
        <v>S</v>
      </c>
      <c r="B16">
        <f t="shared" si="1"/>
        <v>0</v>
      </c>
      <c r="C16">
        <f t="shared" ca="1" si="2"/>
        <v>1</v>
      </c>
      <c r="D16">
        <f t="shared" ca="1" si="3"/>
        <v>0</v>
      </c>
      <c r="E16">
        <f t="shared" ca="1" si="4"/>
        <v>0</v>
      </c>
      <c r="F16">
        <f t="shared" ca="1" si="5"/>
        <v>0</v>
      </c>
      <c r="G16">
        <f t="shared" ca="1" si="6"/>
        <v>3</v>
      </c>
      <c r="H16">
        <f t="shared" ca="1" si="7"/>
        <v>0</v>
      </c>
      <c r="I16">
        <f t="shared" ca="1" si="8"/>
        <v>0</v>
      </c>
      <c r="J16" s="395" t="s">
        <v>103</v>
      </c>
      <c r="K16" s="162" t="str">
        <f t="shared" ca="1" si="9"/>
        <v>1.3.</v>
      </c>
      <c r="L16" s="396" t="s">
        <v>237</v>
      </c>
      <c r="M16" s="396" t="s">
        <v>247</v>
      </c>
      <c r="N16" s="397" t="s">
        <v>288</v>
      </c>
      <c r="O16" s="398" t="s">
        <v>289</v>
      </c>
      <c r="P16" s="399">
        <f>P15*3</f>
        <v>3000</v>
      </c>
      <c r="Q16" s="228"/>
      <c r="R16" s="231" t="s">
        <v>7</v>
      </c>
      <c r="S16" s="121">
        <f t="shared" si="10"/>
        <v>0</v>
      </c>
      <c r="T16" s="98">
        <f t="shared" si="11"/>
        <v>0</v>
      </c>
      <c r="U16" s="13" t="str">
        <f t="shared" si="12"/>
        <v>SEM VALOR</v>
      </c>
      <c r="V16" s="4" t="str">
        <f ca="1">IF(OR($A16=0,$A16="S",$A16&gt;CFF!$A$9),"",MAX(V$12:OFFSET(V16,-1,0))+1)</f>
        <v/>
      </c>
      <c r="W16" s="9" t="str">
        <f t="shared" si="13"/>
        <v>SINAPI-98525</v>
      </c>
      <c r="X16" s="4">
        <f t="shared" ca="1" si="14"/>
        <v>7379</v>
      </c>
      <c r="Y16" s="121">
        <v>0.87</v>
      </c>
      <c r="Z16" s="132">
        <f ca="1">ROUND(IF(ISNUMBER(R16),R16,IF(LEFT(R16,3)="BDI",HLOOKUP(R16,DADOS!$T$37:$X$38,2,FALSE),0)),15-11*$X$5)</f>
        <v>0.23</v>
      </c>
      <c r="AA16" s="4"/>
    </row>
    <row r="17" spans="1:27" x14ac:dyDescent="0.25">
      <c r="A17" t="str">
        <f t="shared" ref="A17:A70" si="15">CHOOSE(1+LOG(1+2*(J17="Meta")+4*(J17="Nível 2")+8*(J17="Nível 3")+16*(J17="Nível 4")+32*(J17="Serviço"),2),0,1,2,3,4,"S")</f>
        <v>S</v>
      </c>
      <c r="B17">
        <f t="shared" ref="B17:B70" si="16">IF(OR(A17="S",A17=0),0,IF(ISERROR(I17),H17,SMALL(H17:I17,1)))</f>
        <v>0</v>
      </c>
      <c r="C17">
        <f t="shared" ref="C17:C70" ca="1" si="17">IF($A17=1,OFFSET(C17,-1,0)+1,OFFSET(C17,-1,0))</f>
        <v>1</v>
      </c>
      <c r="D17">
        <f t="shared" ref="D17:D70" ca="1" si="18">IF($A17=1,0,IF($A17=2,OFFSET(D17,-1,0)+1,OFFSET(D17,-1,0)))</f>
        <v>0</v>
      </c>
      <c r="E17">
        <f t="shared" ref="E17:E70" ca="1" si="19">IF(AND($A17&lt;=2,$A17&lt;&gt;0),0,IF($A17=3,OFFSET(E17,-1,0)+1,OFFSET(E17,-1,0)))</f>
        <v>0</v>
      </c>
      <c r="F17">
        <f t="shared" ref="F17:F70" ca="1" si="20">IF(AND($A17&lt;=3,$A17&lt;&gt;0),0,IF($A17=4,OFFSET(F17,-1,0)+1,OFFSET(F17,-1,0)))</f>
        <v>0</v>
      </c>
      <c r="G17">
        <f t="shared" ref="G17:G70" ca="1" si="21">IF(AND($A17&lt;=4,$A17&lt;&gt;0),0,IF($A17="S",OFFSET(G17,-1,0)+1,OFFSET(G17,-1,0)))</f>
        <v>4</v>
      </c>
      <c r="H17">
        <f t="shared" ca="1" si="7"/>
        <v>0</v>
      </c>
      <c r="I17">
        <f t="shared" ca="1" si="8"/>
        <v>0</v>
      </c>
      <c r="J17" s="395" t="s">
        <v>103</v>
      </c>
      <c r="K17" s="162" t="str">
        <f t="shared" ref="K17:K70" ca="1" si="22">IF($A17=0,"-",CONCATENATE(C17&amp;".",IF(AND($A$5&gt;=2,$A17&gt;=2),D17&amp;".",""),IF(AND($A$5&gt;=3,$A17&gt;=3),E17&amp;".",""),IF(AND($A$5&gt;=4,$A17&gt;=4),F17&amp;".",""),IF($A17="S",G17&amp;".","")))</f>
        <v>1.4.</v>
      </c>
      <c r="L17" s="396" t="s">
        <v>237</v>
      </c>
      <c r="M17" s="396" t="s">
        <v>350</v>
      </c>
      <c r="N17" s="397" t="s">
        <v>290</v>
      </c>
      <c r="O17" s="398" t="s">
        <v>357</v>
      </c>
      <c r="P17" s="399">
        <v>80</v>
      </c>
      <c r="Q17" s="228"/>
      <c r="R17" s="231" t="s">
        <v>7</v>
      </c>
      <c r="S17" s="121">
        <f t="shared" ref="S17:S51" si="23">IF($A17="S",IF($Q$10="Preço Unitário (R$)",PO.CustoUnitario,ROUND(PO.CustoUnitario*(1+$Z17),15-13*$X$6)),0)</f>
        <v>0</v>
      </c>
      <c r="T17" s="98">
        <f t="shared" ref="T17:T51" si="24">IF($A17="S",VTOTAL1,IF($A17=0,0,ROUND(SomaAgrup,15-13*$X$7)))</f>
        <v>0</v>
      </c>
      <c r="U17" s="13" t="str">
        <f t="shared" ref="U17:U70" si="25">IF($J17="","",IF($N17="","DESCRIÇÃO",IF(AND($J17="Serviço",$O17=""),"UNIDADE",IF($T17&lt;=0,"SEM VALOR",IF(AND($Y17&lt;&gt;"",$Q17&gt;$Y17),"ACIMA REF.","")))))</f>
        <v>SEM VALOR</v>
      </c>
      <c r="V17" s="4" t="str">
        <f ca="1">IF(OR($A17=0,$A17="S",$A17&gt;CFF!$A$9),"",MAX(V$12:OFFSET(V17,-1,0))+1)</f>
        <v/>
      </c>
      <c r="W17" s="9" t="str">
        <f t="shared" ref="W17:W70" si="26">IF(AND($J17="Serviço",$M17&lt;&gt;""),IF($L17="",$M17,CONCATENATE($L17,"-",$M17)))</f>
        <v>SINAPI-90778</v>
      </c>
      <c r="X17" s="4">
        <f t="shared" ref="X17:X51" ca="1" si="27">IF(AND(Fonte&lt;&gt;"",Código&lt;&gt;""),MATCH(Fonte&amp;" "&amp;IF(Fonte="sinapi",SUBSTITUTE(SUBSTITUTE(Código,"/00","/"),"/0","/"),Código),INDIRECT("'[Referência "&amp;_xlnm.Database&amp;".xls]Banco'!$a:$a"),0),"X")</f>
        <v>7473</v>
      </c>
      <c r="Y17" s="121">
        <v>155.69</v>
      </c>
      <c r="Z17" s="132">
        <f ca="1">ROUND(IF(ISNUMBER(R17),R17,IF(LEFT(R17,3)="BDI",HLOOKUP(R17,DADOS!$T$37:$X$38,2,FALSE),0)),15-11*$X$5)</f>
        <v>0.23</v>
      </c>
      <c r="AA17" s="4"/>
    </row>
    <row r="18" spans="1:27" x14ac:dyDescent="0.25">
      <c r="A18" t="str">
        <f t="shared" si="15"/>
        <v>S</v>
      </c>
      <c r="B18">
        <f t="shared" si="16"/>
        <v>0</v>
      </c>
      <c r="C18">
        <f t="shared" ca="1" si="17"/>
        <v>1</v>
      </c>
      <c r="D18">
        <f t="shared" ca="1" si="18"/>
        <v>0</v>
      </c>
      <c r="E18">
        <f t="shared" ca="1" si="19"/>
        <v>0</v>
      </c>
      <c r="F18">
        <f t="shared" ca="1" si="20"/>
        <v>0</v>
      </c>
      <c r="G18">
        <f t="shared" ca="1" si="21"/>
        <v>5</v>
      </c>
      <c r="H18">
        <f t="shared" ca="1" si="7"/>
        <v>0</v>
      </c>
      <c r="I18">
        <f t="shared" ca="1" si="8"/>
        <v>0</v>
      </c>
      <c r="J18" s="395" t="s">
        <v>103</v>
      </c>
      <c r="K18" s="162" t="str">
        <f t="shared" ca="1" si="22"/>
        <v>1.5.</v>
      </c>
      <c r="L18" s="396" t="s">
        <v>237</v>
      </c>
      <c r="M18" s="396" t="s">
        <v>259</v>
      </c>
      <c r="N18" s="397" t="s">
        <v>291</v>
      </c>
      <c r="O18" s="398" t="s">
        <v>358</v>
      </c>
      <c r="P18" s="399">
        <v>2</v>
      </c>
      <c r="Q18" s="228"/>
      <c r="R18" s="231" t="s">
        <v>7</v>
      </c>
      <c r="S18" s="121">
        <f t="shared" si="23"/>
        <v>0</v>
      </c>
      <c r="T18" s="98">
        <f t="shared" si="24"/>
        <v>0</v>
      </c>
      <c r="U18" s="13" t="str">
        <f t="shared" si="25"/>
        <v>SEM VALOR</v>
      </c>
      <c r="V18" s="4" t="str">
        <f ca="1">IF(OR($A18=0,$A18="S",$A18&gt;CFF!$A$9),"",MAX(V$12:OFFSET(V18,-1,0))+1)</f>
        <v/>
      </c>
      <c r="W18" s="9" t="str">
        <f t="shared" si="26"/>
        <v>SINAPI-94296</v>
      </c>
      <c r="X18" s="4">
        <f t="shared" ca="1" si="27"/>
        <v>7490</v>
      </c>
      <c r="Y18" s="121">
        <v>8036.32</v>
      </c>
      <c r="Z18" s="132">
        <f ca="1">ROUND(IF(ISNUMBER(R18),R18,IF(LEFT(R18,3)="BDI",HLOOKUP(R18,DADOS!$T$37:$X$38,2,FALSE),0)),15-11*$X$5)</f>
        <v>0.23</v>
      </c>
      <c r="AA18" s="4"/>
    </row>
    <row r="19" spans="1:27" x14ac:dyDescent="0.25">
      <c r="A19">
        <f t="shared" si="15"/>
        <v>1</v>
      </c>
      <c r="B19">
        <f t="shared" ca="1" si="16"/>
        <v>9</v>
      </c>
      <c r="C19">
        <f t="shared" ca="1" si="17"/>
        <v>2</v>
      </c>
      <c r="D19">
        <f t="shared" ca="1" si="18"/>
        <v>0</v>
      </c>
      <c r="E19">
        <f t="shared" ca="1" si="19"/>
        <v>0</v>
      </c>
      <c r="F19">
        <f t="shared" ca="1" si="20"/>
        <v>0</v>
      </c>
      <c r="G19">
        <f t="shared" ca="1" si="21"/>
        <v>0</v>
      </c>
      <c r="H19">
        <f t="shared" ca="1" si="7"/>
        <v>52</v>
      </c>
      <c r="I19">
        <f t="shared" ca="1" si="8"/>
        <v>9</v>
      </c>
      <c r="J19" s="395" t="s">
        <v>99</v>
      </c>
      <c r="K19" s="162" t="str">
        <f t="shared" ca="1" si="22"/>
        <v>2.</v>
      </c>
      <c r="L19" s="396"/>
      <c r="M19" s="396"/>
      <c r="N19" s="397" t="s">
        <v>236</v>
      </c>
      <c r="O19" s="398" t="s">
        <v>106</v>
      </c>
      <c r="P19" s="399"/>
      <c r="Q19" s="228"/>
      <c r="R19" s="231" t="s">
        <v>7</v>
      </c>
      <c r="S19" s="121">
        <f t="shared" si="23"/>
        <v>0</v>
      </c>
      <c r="T19" s="98">
        <f t="shared" ca="1" si="24"/>
        <v>0</v>
      </c>
      <c r="U19" s="13" t="str">
        <f t="shared" ca="1" si="25"/>
        <v>SEM VALOR</v>
      </c>
      <c r="V19" s="4">
        <f ca="1">IF(OR($A19=0,$A19="S",$A19&gt;CFF!$A$9),"",MAX(V$12:OFFSET(V19,-1,0))+1)</f>
        <v>2</v>
      </c>
      <c r="W19" s="9" t="b">
        <f t="shared" si="26"/>
        <v>0</v>
      </c>
      <c r="X19" s="4" t="str">
        <f t="shared" ca="1" si="27"/>
        <v>X</v>
      </c>
      <c r="Y19" s="121">
        <v>0</v>
      </c>
      <c r="Z19" s="132">
        <f ca="1">ROUND(IF(ISNUMBER(R19),R19,IF(LEFT(R19,3)="BDI",HLOOKUP(R19,DADOS!$T$37:$X$38,2,FALSE),0)),15-11*$X$5)</f>
        <v>0.23</v>
      </c>
      <c r="AA19" s="4"/>
    </row>
    <row r="20" spans="1:27" ht="26.4" x14ac:dyDescent="0.25">
      <c r="A20" t="str">
        <f>CHOOSE(1+LOG(1+2*(J20="Meta")+4*(J20="Nível 2")+8*(J20="Nível 3")+16*(J20="Nível 4")+32*(J20="Serviço"),2),0,1,2,3,4,"S")</f>
        <v>S</v>
      </c>
      <c r="B20">
        <f>IF(OR(A20="S",A20=0),0,IF(ISERROR(I20),H20,SMALL(H20:I20,1)))</f>
        <v>0</v>
      </c>
      <c r="C20">
        <f ca="1">IF($A20=1,OFFSET(C20,-1,0)+1,OFFSET(C20,-1,0))</f>
        <v>2</v>
      </c>
      <c r="D20">
        <f ca="1">IF($A20=1,0,IF($A20=2,OFFSET(D20,-1,0)+1,OFFSET(D20,-1,0)))</f>
        <v>0</v>
      </c>
      <c r="E20">
        <f ca="1">IF(AND($A20&lt;=2,$A20&lt;&gt;0),0,IF($A20=3,OFFSET(E20,-1,0)+1,OFFSET(E20,-1,0)))</f>
        <v>0</v>
      </c>
      <c r="F20">
        <f ca="1">IF(AND($A20&lt;=3,$A20&lt;&gt;0),0,IF($A20=4,OFFSET(F20,-1,0)+1,OFFSET(F20,-1,0)))</f>
        <v>0</v>
      </c>
      <c r="G20">
        <f ca="1">IF(AND($A20&lt;=4,$A20&lt;&gt;0),0,IF($A20="S",OFFSET(G20,-1,0)+1,OFFSET(G20,-1,0)))</f>
        <v>1</v>
      </c>
      <c r="H20">
        <f t="shared" ca="1" si="7"/>
        <v>0</v>
      </c>
      <c r="I20">
        <f t="shared" ca="1" si="8"/>
        <v>0</v>
      </c>
      <c r="J20" s="395" t="s">
        <v>103</v>
      </c>
      <c r="K20" s="162" t="str">
        <f ca="1">IF($A20=0,"-",CONCATENATE(C20&amp;".",IF(AND($A$5&gt;=2,$A20&gt;=2),D20&amp;".",""),IF(AND($A$5&gt;=3,$A20&gt;=3),E20&amp;".",""),IF(AND($A$5&gt;=4,$A20&gt;=4),F20&amp;".",""),IF($A20="S",G20&amp;".","")))</f>
        <v>2.1.</v>
      </c>
      <c r="L20" s="396" t="s">
        <v>238</v>
      </c>
      <c r="M20" s="396" t="s">
        <v>345</v>
      </c>
      <c r="N20" s="397" t="s">
        <v>344</v>
      </c>
      <c r="O20" s="398" t="s">
        <v>292</v>
      </c>
      <c r="P20" s="399">
        <f>P15*3*2</f>
        <v>6000</v>
      </c>
      <c r="Q20" s="228"/>
      <c r="R20" s="231" t="s">
        <v>7</v>
      </c>
      <c r="S20" s="121">
        <f>IF($A20="S",IF($Q$10="Preço Unitário (R$)",PO.CustoUnitario,ROUND(PO.CustoUnitario*(1+$Z20),15-13*$X$6)),0)</f>
        <v>0</v>
      </c>
      <c r="T20" s="98">
        <f>IF($A20="S",VTOTAL1,IF($A20=0,0,ROUND(SomaAgrup,15-13*$X$7)))</f>
        <v>0</v>
      </c>
      <c r="U20" s="13" t="str">
        <f>IF($J20="","",IF($N20="","DESCRIÇÃO",IF(AND($J20="Serviço",$O20=""),"UNIDADE",IF($T20&lt;=0,"SEM VALOR",IF(AND($Y20&lt;&gt;"",$Q20&gt;$Y20),"ACIMA REF.","")))))</f>
        <v>SEM VALOR</v>
      </c>
      <c r="V20" s="4" t="str">
        <f ca="1">IF(OR($A20=0,$A20="S",$A20&gt;CFF!$A$9),"",MAX(V$12:OFFSET(V20,-1,0))+1)</f>
        <v/>
      </c>
      <c r="W20" s="9" t="str">
        <f>IF(AND($J20="Serviço",$M20&lt;&gt;""),IF($L20="",$M20,CONCATENATE($L20,"-",$M20)))</f>
        <v>SICRO-5502114</v>
      </c>
      <c r="X20" s="4" t="e">
        <f ca="1">IF(AND(Fonte&lt;&gt;"",Código&lt;&gt;""),MATCH(Fonte&amp;" "&amp;IF(Fonte="sinapi",SUBSTITUTE(SUBSTITUTE(Código,"/00","/"),"/0","/"),Código),INDIRECT("'[Referência "&amp;_xlnm.Database&amp;".xls]Banco'!$a:$a"),0),"X")</f>
        <v>#N/A</v>
      </c>
      <c r="Y20" s="121">
        <v>8</v>
      </c>
      <c r="Z20" s="132">
        <f ca="1">ROUND(IF(ISNUMBER(R20),R20,IF(LEFT(R20,3)="BDI",HLOOKUP(R20,DADOS!$T$37:$X$38,2,FALSE),0)),15-11*$X$5)</f>
        <v>0.23</v>
      </c>
      <c r="AA20" s="4"/>
    </row>
    <row r="21" spans="1:27" ht="26.4" x14ac:dyDescent="0.25">
      <c r="A21" t="str">
        <f>CHOOSE(1+LOG(1+2*(J21="Meta")+4*(J21="Nível 2")+8*(J21="Nível 3")+16*(J21="Nível 4")+32*(J21="Serviço"),2),0,1,2,3,4,"S")</f>
        <v>S</v>
      </c>
      <c r="B21">
        <f>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2</v>
      </c>
      <c r="H21">
        <f t="shared" ca="1" si="7"/>
        <v>0</v>
      </c>
      <c r="I21">
        <f t="shared" ca="1" si="8"/>
        <v>0</v>
      </c>
      <c r="J21" s="395" t="s">
        <v>103</v>
      </c>
      <c r="K21" s="162" t="str">
        <f ca="1">IF($A21=0,"-",CONCATENATE(C21&amp;".",IF(AND($A$5&gt;=2,$A21&gt;=2),D21&amp;".",""),IF(AND($A$5&gt;=3,$A21&gt;=3),E21&amp;".",""),IF(AND($A$5&gt;=4,$A21&gt;=4),F21&amp;".",""),IF($A21="S",G21&amp;".","")))</f>
        <v>2.2.</v>
      </c>
      <c r="L21" s="396" t="s">
        <v>238</v>
      </c>
      <c r="M21" s="396" t="s">
        <v>347</v>
      </c>
      <c r="N21" s="397" t="s">
        <v>346</v>
      </c>
      <c r="O21" s="398" t="s">
        <v>292</v>
      </c>
      <c r="P21" s="399">
        <f>P15*3*1</f>
        <v>3000</v>
      </c>
      <c r="Q21" s="228"/>
      <c r="R21" s="231" t="s">
        <v>7</v>
      </c>
      <c r="S21" s="121">
        <f>IF($A21="S",IF($Q$10="Preço Unitário (R$)",PO.CustoUnitario,ROUND(PO.CustoUnitario*(1+$Z21),15-13*$X$6)),0)</f>
        <v>0</v>
      </c>
      <c r="T21" s="98">
        <f>IF($A21="S",VTOTAL1,IF($A21=0,0,ROUND(SomaAgrup,15-13*$X$7)))</f>
        <v>0</v>
      </c>
      <c r="U21" s="13" t="str">
        <f>IF($J21="","",IF($N21="","DESCRIÇÃO",IF(AND($J21="Serviço",$O21=""),"UNIDADE",IF($T21&lt;=0,"SEM VALOR",IF(AND($Y21&lt;&gt;"",$Q21&gt;$Y21),"ACIMA REF.","")))))</f>
        <v>SEM VALOR</v>
      </c>
      <c r="V21" s="4" t="str">
        <f ca="1">IF(OR($A21=0,$A21="S",$A21&gt;CFF!$A$9),"",MAX(V$12:OFFSET(V21,-1,0))+1)</f>
        <v/>
      </c>
      <c r="W21" s="9" t="str">
        <f>IF(AND($J21="Serviço",$M21&lt;&gt;""),IF($L21="",$M21,CONCATENATE($L21,"-",$M21)))</f>
        <v>SICRO-5502590</v>
      </c>
      <c r="X21" s="4" t="e">
        <f ca="1">IF(AND(Fonte&lt;&gt;"",Código&lt;&gt;""),MATCH(Fonte&amp;" "&amp;IF(Fonte="sinapi",SUBSTITUTE(SUBSTITUTE(Código,"/00","/"),"/0","/"),Código),INDIRECT("'[Referência "&amp;_xlnm.Database&amp;".xls]Banco'!$a:$a"),0),"X")</f>
        <v>#N/A</v>
      </c>
      <c r="Y21" s="121">
        <v>10.76</v>
      </c>
      <c r="Z21" s="132">
        <f ca="1">ROUND(IF(ISNUMBER(R21),R21,IF(LEFT(R21,3)="BDI",HLOOKUP(R21,DADOS!$T$37:$X$38,2,FALSE),0)),15-11*$X$5)</f>
        <v>0.23</v>
      </c>
      <c r="AA21" s="4"/>
    </row>
    <row r="22" spans="1:27" x14ac:dyDescent="0.25">
      <c r="A22" t="str">
        <f>CHOOSE(1+LOG(1+2*(J22="Meta")+4*(J22="Nível 2")+8*(J22="Nível 3")+16*(J22="Nível 4")+32*(J22="Serviço"),2),0,1,2,3,4,"S")</f>
        <v>S</v>
      </c>
      <c r="B22">
        <f>IF(OR(A22="S",A22=0),0,IF(ISERROR(I22),H22,SMALL(H22:I22,1)))</f>
        <v>0</v>
      </c>
      <c r="C22">
        <f ca="1">IF($A22=1,OFFSET(C22,-1,0)+1,OFFSET(C22,-1,0))</f>
        <v>2</v>
      </c>
      <c r="D22">
        <f ca="1">IF($A22=1,0,IF($A22=2,OFFSET(D22,-1,0)+1,OFFSET(D22,-1,0)))</f>
        <v>0</v>
      </c>
      <c r="E22">
        <f ca="1">IF(AND($A22&lt;=2,$A22&lt;&gt;0),0,IF($A22=3,OFFSET(E22,-1,0)+1,OFFSET(E22,-1,0)))</f>
        <v>0</v>
      </c>
      <c r="F22">
        <f ca="1">IF(AND($A22&lt;=3,$A22&lt;&gt;0),0,IF($A22=4,OFFSET(F22,-1,0)+1,OFFSET(F22,-1,0)))</f>
        <v>0</v>
      </c>
      <c r="G22">
        <f ca="1">IF(AND($A22&lt;=4,$A22&lt;&gt;0),0,IF($A22="S",OFFSET(G22,-1,0)+1,OFFSET(G22,-1,0)))</f>
        <v>3</v>
      </c>
      <c r="H22">
        <f t="shared" ca="1" si="7"/>
        <v>0</v>
      </c>
      <c r="I22">
        <f t="shared" ca="1" si="8"/>
        <v>0</v>
      </c>
      <c r="J22" s="395" t="s">
        <v>103</v>
      </c>
      <c r="K22" s="162" t="str">
        <f ca="1">IF($A22=0,"-",CONCATENATE(C22&amp;".",IF(AND($A$5&gt;=2,$A22&gt;=2),D22&amp;".",""),IF(AND($A$5&gt;=3,$A22&gt;=3),E22&amp;".",""),IF(AND($A$5&gt;=4,$A22&gt;=4),F22&amp;".",""),IF($A22="S",G22&amp;".","")))</f>
        <v>2.3.</v>
      </c>
      <c r="L22" s="396" t="s">
        <v>238</v>
      </c>
      <c r="M22" s="396" t="s">
        <v>335</v>
      </c>
      <c r="N22" s="397" t="s">
        <v>334</v>
      </c>
      <c r="O22" s="398" t="s">
        <v>292</v>
      </c>
      <c r="P22" s="399">
        <f>P15*3*0.5</f>
        <v>1500</v>
      </c>
      <c r="Q22" s="228"/>
      <c r="R22" s="231" t="s">
        <v>7</v>
      </c>
      <c r="S22" s="121">
        <f>IF($A22="S",IF($Q$10="Preço Unitário (R$)",PO.CustoUnitario,ROUND(PO.CustoUnitario*(1+$Z22),15-13*$X$6)),0)</f>
        <v>0</v>
      </c>
      <c r="T22" s="98">
        <f>IF($A22="S",VTOTAL1,IF($A22=0,0,ROUND(SomaAgrup,15-13*$X$7)))</f>
        <v>0</v>
      </c>
      <c r="U22" s="13" t="str">
        <f>IF($J22="","",IF($N22="","DESCRIÇÃO",IF(AND($J22="Serviço",$O22=""),"UNIDADE",IF($T22&lt;=0,"SEM VALOR",IF(AND($Y22&lt;&gt;"",$Q22&gt;$Y22),"ACIMA REF.","")))))</f>
        <v>SEM VALOR</v>
      </c>
      <c r="V22" s="4" t="str">
        <f ca="1">IF(OR($A22=0,$A22="S",$A22&gt;CFF!$A$9),"",MAX(V$12:OFFSET(V22,-1,0))+1)</f>
        <v/>
      </c>
      <c r="W22" s="9" t="str">
        <f>IF(AND($J22="Serviço",$M22&lt;&gt;""),IF($L22="",$M22,CONCATENATE($L22,"-",$M22)))</f>
        <v>SICRO-5500991</v>
      </c>
      <c r="X22" s="4" t="e">
        <f ca="1">IF(AND(Fonte&lt;&gt;"",Código&lt;&gt;""),MATCH(Fonte&amp;" "&amp;IF(Fonte="sinapi",SUBSTITUTE(SUBSTITUTE(Código,"/00","/"),"/0","/"),Código),INDIRECT("'[Referência "&amp;_xlnm.Database&amp;".xls]Banco'!$a:$a"),0),"X")</f>
        <v>#N/A</v>
      </c>
      <c r="Y22" s="121">
        <v>149.99</v>
      </c>
      <c r="Z22" s="132">
        <f ca="1">ROUND(IF(ISNUMBER(R22),R22,IF(LEFT(R22,3)="BDI",HLOOKUP(R22,DADOS!$T$37:$X$38,2,FALSE),0)),15-11*$X$5)</f>
        <v>0.23</v>
      </c>
      <c r="AA22" s="4"/>
    </row>
    <row r="23" spans="1:27" ht="26.4" x14ac:dyDescent="0.25">
      <c r="A23" t="str">
        <f>CHOOSE(1+LOG(1+2*(J23="Meta")+4*(J23="Nível 2")+8*(J23="Nível 3")+16*(J23="Nível 4")+32*(J23="Serviço"),2),0,1,2,3,4,"S")</f>
        <v>S</v>
      </c>
      <c r="B23">
        <f>IF(OR(A23="S",A23=0),0,IF(ISERROR(I23),H23,SMALL(H23:I23,1)))</f>
        <v>0</v>
      </c>
      <c r="C23">
        <f ca="1">IF($A23=1,OFFSET(C23,-1,0)+1,OFFSET(C23,-1,0))</f>
        <v>2</v>
      </c>
      <c r="D23">
        <f ca="1">IF($A23=1,0,IF($A23=2,OFFSET(D23,-1,0)+1,OFFSET(D23,-1,0)))</f>
        <v>0</v>
      </c>
      <c r="E23">
        <f ca="1">IF(AND($A23&lt;=2,$A23&lt;&gt;0),0,IF($A23=3,OFFSET(E23,-1,0)+1,OFFSET(E23,-1,0)))</f>
        <v>0</v>
      </c>
      <c r="F23">
        <f ca="1">IF(AND($A23&lt;=3,$A23&lt;&gt;0),0,IF($A23=4,OFFSET(F23,-1,0)+1,OFFSET(F23,-1,0)))</f>
        <v>0</v>
      </c>
      <c r="G23">
        <f ca="1">IF(AND($A23&lt;=4,$A23&lt;&gt;0),0,IF($A23="S",OFFSET(G23,-1,0)+1,OFFSET(G23,-1,0)))</f>
        <v>4</v>
      </c>
      <c r="H23">
        <f t="shared" ca="1" si="7"/>
        <v>0</v>
      </c>
      <c r="I23">
        <f t="shared" ca="1" si="8"/>
        <v>0</v>
      </c>
      <c r="J23" s="395" t="s">
        <v>103</v>
      </c>
      <c r="K23" s="162" t="str">
        <f ca="1">IF($A23=0,"-",CONCATENATE(C23&amp;".",IF(AND($A$5&gt;=2,$A23&gt;=2),D23&amp;".",""),IF(AND($A$5&gt;=3,$A23&gt;=3),E23&amp;".",""),IF(AND($A$5&gt;=4,$A23&gt;=4),F23&amp;".",""),IF($A23="S",G23&amp;".","")))</f>
        <v>2.4.</v>
      </c>
      <c r="L23" s="396" t="s">
        <v>238</v>
      </c>
      <c r="M23" s="396" t="s">
        <v>349</v>
      </c>
      <c r="N23" s="397" t="s">
        <v>348</v>
      </c>
      <c r="O23" s="398" t="s">
        <v>292</v>
      </c>
      <c r="P23" s="399">
        <f>P22</f>
        <v>1500</v>
      </c>
      <c r="Q23" s="228"/>
      <c r="R23" s="231" t="s">
        <v>7</v>
      </c>
      <c r="S23" s="121">
        <f>IF($A23="S",IF($Q$10="Preço Unitário (R$)",PO.CustoUnitario,ROUND(PO.CustoUnitario*(1+$Z23),15-13*$X$6)),0)</f>
        <v>0</v>
      </c>
      <c r="T23" s="98">
        <f>IF($A23="S",VTOTAL1,IF($A23=0,0,ROUND(SomaAgrup,15-13*$X$7)))</f>
        <v>0</v>
      </c>
      <c r="U23" s="13" t="str">
        <f>IF($J23="","",IF($N23="","DESCRIÇÃO",IF(AND($J23="Serviço",$O23=""),"UNIDADE",IF($T23&lt;=0,"SEM VALOR",IF(AND($Y23&lt;&gt;"",$Q23&gt;$Y23),"ACIMA REF.","")))))</f>
        <v>SEM VALOR</v>
      </c>
      <c r="V23" s="4" t="str">
        <f ca="1">IF(OR($A23=0,$A23="S",$A23&gt;CFF!$A$9),"",MAX(V$12:OFFSET(V23,-1,0))+1)</f>
        <v/>
      </c>
      <c r="W23" s="9" t="str">
        <f>IF(AND($J23="Serviço",$M23&lt;&gt;""),IF($L23="",$M23,CONCATENATE($L23,"-",$M23)))</f>
        <v>SICRO-5502747</v>
      </c>
      <c r="X23" s="4" t="e">
        <f ca="1">IF(AND(Fonte&lt;&gt;"",Código&lt;&gt;""),MATCH(Fonte&amp;" "&amp;IF(Fonte="sinapi",SUBSTITUTE(SUBSTITUTE(Código,"/00","/"),"/0","/"),Código),INDIRECT("'[Referência "&amp;_xlnm.Database&amp;".xls]Banco'!$a:$a"),0),"X")</f>
        <v>#N/A</v>
      </c>
      <c r="Y23" s="121">
        <v>48.06</v>
      </c>
      <c r="Z23" s="132">
        <f ca="1">ROUND(IF(ISNUMBER(R23),R23,IF(LEFT(R23,3)="BDI",HLOOKUP(R23,DADOS!$T$37:$X$38,2,FALSE),0)),15-11*$X$5)</f>
        <v>0.23</v>
      </c>
      <c r="AA23" s="4"/>
    </row>
    <row r="24" spans="1:27" x14ac:dyDescent="0.25">
      <c r="A24" t="str">
        <f t="shared" si="15"/>
        <v>S</v>
      </c>
      <c r="B24">
        <f t="shared" si="16"/>
        <v>0</v>
      </c>
      <c r="C24">
        <f t="shared" ca="1" si="17"/>
        <v>2</v>
      </c>
      <c r="D24">
        <f t="shared" ca="1" si="18"/>
        <v>0</v>
      </c>
      <c r="E24">
        <f t="shared" ca="1" si="19"/>
        <v>0</v>
      </c>
      <c r="F24">
        <f t="shared" ca="1" si="20"/>
        <v>0</v>
      </c>
      <c r="G24">
        <f t="shared" ca="1" si="21"/>
        <v>5</v>
      </c>
      <c r="H24">
        <f t="shared" ca="1" si="7"/>
        <v>0</v>
      </c>
      <c r="I24">
        <f t="shared" ca="1" si="8"/>
        <v>0</v>
      </c>
      <c r="J24" s="395" t="s">
        <v>103</v>
      </c>
      <c r="K24" s="162" t="str">
        <f t="shared" ca="1" si="22"/>
        <v>2.5.</v>
      </c>
      <c r="L24" s="396" t="s">
        <v>238</v>
      </c>
      <c r="M24" s="396" t="s">
        <v>337</v>
      </c>
      <c r="N24" s="397" t="s">
        <v>336</v>
      </c>
      <c r="O24" s="398" t="s">
        <v>292</v>
      </c>
      <c r="P24" s="399">
        <f>P20+P21+P22</f>
        <v>10500</v>
      </c>
      <c r="Q24" s="228"/>
      <c r="R24" s="231" t="s">
        <v>7</v>
      </c>
      <c r="S24" s="121">
        <f t="shared" si="23"/>
        <v>0</v>
      </c>
      <c r="T24" s="98">
        <f t="shared" si="24"/>
        <v>0</v>
      </c>
      <c r="U24" s="13" t="str">
        <f t="shared" si="25"/>
        <v>SEM VALOR</v>
      </c>
      <c r="V24" s="4" t="str">
        <f ca="1">IF(OR($A24=0,$A24="S",$A24&gt;CFF!$A$9),"",MAX(V$12:OFFSET(V24,-1,0))+1)</f>
        <v/>
      </c>
      <c r="W24" s="9" t="str">
        <f t="shared" si="26"/>
        <v>SICRO-4413942</v>
      </c>
      <c r="X24" s="4" t="e">
        <f t="shared" ca="1" si="27"/>
        <v>#N/A</v>
      </c>
      <c r="Y24" s="121">
        <v>1.75</v>
      </c>
      <c r="Z24" s="132">
        <f ca="1">ROUND(IF(ISNUMBER(R24),R24,IF(LEFT(R24,3)="BDI",HLOOKUP(R24,DADOS!$T$37:$X$38,2,FALSE),0)),15-11*$X$5)</f>
        <v>0.23</v>
      </c>
      <c r="AA24" s="4"/>
    </row>
    <row r="25" spans="1:27" x14ac:dyDescent="0.25">
      <c r="A25" t="str">
        <f t="shared" si="15"/>
        <v>S</v>
      </c>
      <c r="B25">
        <f t="shared" si="16"/>
        <v>0</v>
      </c>
      <c r="C25">
        <f t="shared" ca="1" si="17"/>
        <v>2</v>
      </c>
      <c r="D25">
        <f t="shared" ca="1" si="18"/>
        <v>0</v>
      </c>
      <c r="E25">
        <f t="shared" ca="1" si="19"/>
        <v>0</v>
      </c>
      <c r="F25">
        <f t="shared" ca="1" si="20"/>
        <v>0</v>
      </c>
      <c r="G25">
        <f t="shared" ca="1" si="21"/>
        <v>6</v>
      </c>
      <c r="H25">
        <f t="shared" ca="1" si="7"/>
        <v>0</v>
      </c>
      <c r="I25">
        <f t="shared" ca="1" si="8"/>
        <v>0</v>
      </c>
      <c r="J25" s="395" t="s">
        <v>103</v>
      </c>
      <c r="K25" s="162" t="str">
        <f t="shared" ca="1" si="22"/>
        <v>2.6.</v>
      </c>
      <c r="L25" s="396" t="s">
        <v>238</v>
      </c>
      <c r="M25" s="396" t="s">
        <v>338</v>
      </c>
      <c r="N25" s="397" t="s">
        <v>343</v>
      </c>
      <c r="O25" s="398" t="s">
        <v>292</v>
      </c>
      <c r="P25" s="399">
        <f>P20</f>
        <v>6000</v>
      </c>
      <c r="Q25" s="228"/>
      <c r="R25" s="231" t="s">
        <v>7</v>
      </c>
      <c r="S25" s="121">
        <f t="shared" si="23"/>
        <v>0</v>
      </c>
      <c r="T25" s="98">
        <f t="shared" si="24"/>
        <v>0</v>
      </c>
      <c r="U25" s="13" t="str">
        <f t="shared" si="25"/>
        <v>SEM VALOR</v>
      </c>
      <c r="V25" s="4" t="str">
        <f ca="1">IF(OR($A25=0,$A25="S",$A25&gt;CFF!$A$9),"",MAX(V$12:OFFSET(V25,-1,0))+1)</f>
        <v/>
      </c>
      <c r="W25" s="9" t="str">
        <f t="shared" si="26"/>
        <v>SICRO-5502978</v>
      </c>
      <c r="X25" s="4" t="e">
        <f t="shared" ca="1" si="27"/>
        <v>#N/A</v>
      </c>
      <c r="Y25" s="121">
        <v>4.8499999999999996</v>
      </c>
      <c r="Z25" s="132">
        <f ca="1">ROUND(IF(ISNUMBER(R25),R25,IF(LEFT(R25,3)="BDI",HLOOKUP(R25,DADOS!$T$37:$X$38,2,FALSE),0)),15-11*$X$5)</f>
        <v>0.23</v>
      </c>
      <c r="AA25" s="4"/>
    </row>
    <row r="26" spans="1:27" x14ac:dyDescent="0.25">
      <c r="A26" t="str">
        <f t="shared" si="15"/>
        <v>S</v>
      </c>
      <c r="B26">
        <f t="shared" si="16"/>
        <v>0</v>
      </c>
      <c r="C26">
        <f t="shared" ca="1" si="17"/>
        <v>2</v>
      </c>
      <c r="D26">
        <f t="shared" ca="1" si="18"/>
        <v>0</v>
      </c>
      <c r="E26">
        <f t="shared" ca="1" si="19"/>
        <v>0</v>
      </c>
      <c r="F26">
        <f t="shared" ca="1" si="20"/>
        <v>0</v>
      </c>
      <c r="G26">
        <f t="shared" ca="1" si="21"/>
        <v>7</v>
      </c>
      <c r="H26">
        <f t="shared" ca="1" si="7"/>
        <v>0</v>
      </c>
      <c r="I26">
        <f t="shared" ca="1" si="8"/>
        <v>0</v>
      </c>
      <c r="J26" s="395" t="s">
        <v>103</v>
      </c>
      <c r="K26" s="162" t="str">
        <f t="shared" ca="1" si="22"/>
        <v>2.7.</v>
      </c>
      <c r="L26" s="396" t="s">
        <v>238</v>
      </c>
      <c r="M26" s="396" t="s">
        <v>339</v>
      </c>
      <c r="N26" s="397" t="s">
        <v>340</v>
      </c>
      <c r="O26" s="398" t="s">
        <v>292</v>
      </c>
      <c r="P26" s="399">
        <f>P21</f>
        <v>3000</v>
      </c>
      <c r="Q26" s="228"/>
      <c r="R26" s="231" t="s">
        <v>7</v>
      </c>
      <c r="S26" s="121">
        <f t="shared" si="23"/>
        <v>0</v>
      </c>
      <c r="T26" s="98">
        <f t="shared" si="24"/>
        <v>0</v>
      </c>
      <c r="U26" s="13" t="str">
        <f t="shared" si="25"/>
        <v>SEM VALOR</v>
      </c>
      <c r="V26" s="4" t="str">
        <f ca="1">IF(OR($A26=0,$A26="S",$A26&gt;CFF!$A$9),"",MAX(V$12:OFFSET(V26,-1,0))+1)</f>
        <v/>
      </c>
      <c r="W26" s="9" t="str">
        <f t="shared" si="26"/>
        <v>SICRO-5503041</v>
      </c>
      <c r="X26" s="4" t="e">
        <f t="shared" ca="1" si="27"/>
        <v>#N/A</v>
      </c>
      <c r="Y26" s="121">
        <v>8.24</v>
      </c>
      <c r="Z26" s="132">
        <f ca="1">ROUND(IF(ISNUMBER(R26),R26,IF(LEFT(R26,3)="BDI",HLOOKUP(R26,DADOS!$T$37:$X$38,2,FALSE),0)),15-11*$X$5)</f>
        <v>0.23</v>
      </c>
      <c r="AA26" s="4"/>
    </row>
    <row r="27" spans="1:27" x14ac:dyDescent="0.25">
      <c r="A27" t="str">
        <f t="shared" si="15"/>
        <v>S</v>
      </c>
      <c r="B27">
        <f t="shared" si="16"/>
        <v>0</v>
      </c>
      <c r="C27">
        <f t="shared" ca="1" si="17"/>
        <v>2</v>
      </c>
      <c r="D27">
        <f t="shared" ca="1" si="18"/>
        <v>0</v>
      </c>
      <c r="E27">
        <f t="shared" ca="1" si="19"/>
        <v>0</v>
      </c>
      <c r="F27">
        <f t="shared" ca="1" si="20"/>
        <v>0</v>
      </c>
      <c r="G27">
        <f t="shared" ca="1" si="21"/>
        <v>8</v>
      </c>
      <c r="H27">
        <f t="shared" ca="1" si="7"/>
        <v>0</v>
      </c>
      <c r="I27">
        <f t="shared" ca="1" si="8"/>
        <v>0</v>
      </c>
      <c r="J27" s="395" t="s">
        <v>103</v>
      </c>
      <c r="K27" s="162" t="str">
        <f t="shared" ca="1" si="22"/>
        <v>2.8.</v>
      </c>
      <c r="L27" s="396" t="s">
        <v>238</v>
      </c>
      <c r="M27" s="396" t="s">
        <v>342</v>
      </c>
      <c r="N27" s="397" t="s">
        <v>341</v>
      </c>
      <c r="O27" s="398" t="s">
        <v>292</v>
      </c>
      <c r="P27" s="399">
        <f>P22</f>
        <v>1500</v>
      </c>
      <c r="Q27" s="228"/>
      <c r="R27" s="231" t="s">
        <v>7</v>
      </c>
      <c r="S27" s="121">
        <f t="shared" si="23"/>
        <v>0</v>
      </c>
      <c r="T27" s="98">
        <f t="shared" si="24"/>
        <v>0</v>
      </c>
      <c r="U27" s="13" t="str">
        <f t="shared" si="25"/>
        <v>SEM VALOR</v>
      </c>
      <c r="V27" s="4" t="str">
        <f ca="1">IF(OR($A27=0,$A27="S",$A27&gt;CFF!$A$9),"",MAX(V$12:OFFSET(V27,-1,0))+1)</f>
        <v/>
      </c>
      <c r="W27" s="9" t="str">
        <f t="shared" si="26"/>
        <v>SICRO-5502822</v>
      </c>
      <c r="X27" s="4" t="e">
        <f t="shared" ca="1" si="27"/>
        <v>#N/A</v>
      </c>
      <c r="Y27" s="121">
        <v>42.8</v>
      </c>
      <c r="Z27" s="132">
        <f ca="1">ROUND(IF(ISNUMBER(R27),R27,IF(LEFT(R27,3)="BDI",HLOOKUP(R27,DADOS!$T$37:$X$38,2,FALSE),0)),15-11*$X$5)</f>
        <v>0.23</v>
      </c>
      <c r="AA27" s="4"/>
    </row>
    <row r="28" spans="1:27" x14ac:dyDescent="0.25">
      <c r="A28">
        <f t="shared" si="15"/>
        <v>1</v>
      </c>
      <c r="B28">
        <f t="shared" ca="1" si="16"/>
        <v>19</v>
      </c>
      <c r="C28">
        <f t="shared" ca="1" si="17"/>
        <v>3</v>
      </c>
      <c r="D28">
        <f t="shared" ca="1" si="18"/>
        <v>0</v>
      </c>
      <c r="E28">
        <f t="shared" ca="1" si="19"/>
        <v>0</v>
      </c>
      <c r="F28">
        <f t="shared" ca="1" si="20"/>
        <v>0</v>
      </c>
      <c r="G28">
        <f t="shared" ca="1" si="21"/>
        <v>0</v>
      </c>
      <c r="H28">
        <f t="shared" ca="1" si="7"/>
        <v>43</v>
      </c>
      <c r="I28">
        <f t="shared" ca="1" si="8"/>
        <v>19</v>
      </c>
      <c r="J28" s="395" t="s">
        <v>99</v>
      </c>
      <c r="K28" s="162" t="str">
        <f t="shared" ca="1" si="22"/>
        <v>3.</v>
      </c>
      <c r="L28" s="396"/>
      <c r="M28" s="396"/>
      <c r="N28" s="397" t="s">
        <v>239</v>
      </c>
      <c r="O28" s="398" t="s">
        <v>106</v>
      </c>
      <c r="P28" s="399"/>
      <c r="Q28" s="228"/>
      <c r="R28" s="231" t="s">
        <v>7</v>
      </c>
      <c r="S28" s="121">
        <f t="shared" si="23"/>
        <v>0</v>
      </c>
      <c r="T28" s="98">
        <f t="shared" ca="1" si="24"/>
        <v>0</v>
      </c>
      <c r="U28" s="13" t="str">
        <f t="shared" ca="1" si="25"/>
        <v>SEM VALOR</v>
      </c>
      <c r="V28" s="4">
        <f ca="1">IF(OR($A28=0,$A28="S",$A28&gt;CFF!$A$9),"",MAX(V$12:OFFSET(V28,-1,0))+1)</f>
        <v>3</v>
      </c>
      <c r="W28" s="9" t="b">
        <f t="shared" si="26"/>
        <v>0</v>
      </c>
      <c r="X28" s="4" t="str">
        <f t="shared" ca="1" si="27"/>
        <v>X</v>
      </c>
      <c r="Y28" s="121">
        <v>0</v>
      </c>
      <c r="Z28" s="132">
        <f ca="1">ROUND(IF(ISNUMBER(R28),R28,IF(LEFT(R28,3)="BDI",HLOOKUP(R28,DADOS!$T$37:$X$38,2,FALSE),0)),15-11*$X$5)</f>
        <v>0.23</v>
      </c>
      <c r="AA28" s="4"/>
    </row>
    <row r="29" spans="1:27" ht="39.6" x14ac:dyDescent="0.25">
      <c r="A29" t="str">
        <f t="shared" si="15"/>
        <v>S</v>
      </c>
      <c r="B29">
        <f t="shared" si="16"/>
        <v>0</v>
      </c>
      <c r="C29">
        <f t="shared" ca="1" si="17"/>
        <v>3</v>
      </c>
      <c r="D29">
        <f t="shared" ca="1" si="18"/>
        <v>0</v>
      </c>
      <c r="E29">
        <f t="shared" ca="1" si="19"/>
        <v>0</v>
      </c>
      <c r="F29">
        <f t="shared" ca="1" si="20"/>
        <v>0</v>
      </c>
      <c r="G29">
        <f t="shared" ca="1" si="21"/>
        <v>1</v>
      </c>
      <c r="H29">
        <f t="shared" ca="1" si="7"/>
        <v>0</v>
      </c>
      <c r="I29">
        <f t="shared" ca="1" si="8"/>
        <v>0</v>
      </c>
      <c r="J29" s="395" t="s">
        <v>103</v>
      </c>
      <c r="K29" s="162" t="str">
        <f t="shared" ca="1" si="22"/>
        <v>3.1.</v>
      </c>
      <c r="L29" s="396" t="s">
        <v>237</v>
      </c>
      <c r="M29" s="396" t="s">
        <v>260</v>
      </c>
      <c r="N29" s="397" t="s">
        <v>294</v>
      </c>
      <c r="O29" s="398" t="s">
        <v>292</v>
      </c>
      <c r="P29" s="399">
        <f>(P32+P33+P34+P35+P41+P42+P44)*1.5*1.5</f>
        <v>8408.25</v>
      </c>
      <c r="Q29" s="228"/>
      <c r="R29" s="231" t="s">
        <v>7</v>
      </c>
      <c r="S29" s="121">
        <f t="shared" si="23"/>
        <v>0</v>
      </c>
      <c r="T29" s="98">
        <f t="shared" si="24"/>
        <v>0</v>
      </c>
      <c r="U29" s="13" t="str">
        <f t="shared" si="25"/>
        <v>SEM VALOR</v>
      </c>
      <c r="V29" s="4" t="str">
        <f ca="1">IF(OR($A29=0,$A29="S",$A29&gt;CFF!$A$9),"",MAX(V$12:OFFSET(V29,-1,0))+1)</f>
        <v/>
      </c>
      <c r="W29" s="9" t="str">
        <f t="shared" si="26"/>
        <v>SINAPI-102314</v>
      </c>
      <c r="X29" s="4">
        <f t="shared" ca="1" si="27"/>
        <v>5856</v>
      </c>
      <c r="Y29" s="121">
        <v>11.5</v>
      </c>
      <c r="Z29" s="132">
        <f ca="1">ROUND(IF(ISNUMBER(R29),R29,IF(LEFT(R29,3)="BDI",HLOOKUP(R29,DADOS!$T$37:$X$38,2,FALSE),0)),15-11*$X$5)</f>
        <v>0.23</v>
      </c>
      <c r="AA29" s="4"/>
    </row>
    <row r="30" spans="1:27" ht="26.4" x14ac:dyDescent="0.25">
      <c r="A30" t="str">
        <f t="shared" si="15"/>
        <v>S</v>
      </c>
      <c r="B30">
        <f t="shared" si="16"/>
        <v>0</v>
      </c>
      <c r="C30">
        <f t="shared" ca="1" si="17"/>
        <v>3</v>
      </c>
      <c r="D30">
        <f t="shared" ca="1" si="18"/>
        <v>0</v>
      </c>
      <c r="E30">
        <f t="shared" ca="1" si="19"/>
        <v>0</v>
      </c>
      <c r="F30">
        <f t="shared" ca="1" si="20"/>
        <v>0</v>
      </c>
      <c r="G30">
        <f t="shared" ca="1" si="21"/>
        <v>2</v>
      </c>
      <c r="H30">
        <f t="shared" ca="1" si="7"/>
        <v>0</v>
      </c>
      <c r="I30">
        <f t="shared" ca="1" si="8"/>
        <v>0</v>
      </c>
      <c r="J30" s="395" t="s">
        <v>103</v>
      </c>
      <c r="K30" s="162" t="str">
        <f t="shared" ca="1" si="22"/>
        <v>3.2.</v>
      </c>
      <c r="L30" s="396" t="s">
        <v>237</v>
      </c>
      <c r="M30" s="396" t="s">
        <v>257</v>
      </c>
      <c r="N30" s="397" t="s">
        <v>295</v>
      </c>
      <c r="O30" s="398" t="s">
        <v>292</v>
      </c>
      <c r="P30" s="399">
        <f>(P32+P39)*2*1.5</f>
        <v>147</v>
      </c>
      <c r="Q30" s="228"/>
      <c r="R30" s="231" t="s">
        <v>7</v>
      </c>
      <c r="S30" s="121">
        <f t="shared" si="23"/>
        <v>0</v>
      </c>
      <c r="T30" s="98">
        <f t="shared" si="24"/>
        <v>0</v>
      </c>
      <c r="U30" s="13" t="str">
        <f t="shared" si="25"/>
        <v>SEM VALOR</v>
      </c>
      <c r="V30" s="4" t="str">
        <f ca="1">IF(OR($A30=0,$A30="S",$A30&gt;CFF!$A$9),"",MAX(V$12:OFFSET(V30,-1,0))+1)</f>
        <v/>
      </c>
      <c r="W30" s="9" t="str">
        <f t="shared" si="26"/>
        <v>SINAPI-102355</v>
      </c>
      <c r="X30" s="4">
        <f t="shared" ca="1" si="27"/>
        <v>5796</v>
      </c>
      <c r="Y30" s="121">
        <v>187.08</v>
      </c>
      <c r="Z30" s="132">
        <f ca="1">ROUND(IF(ISNUMBER(R30),R30,IF(LEFT(R30,3)="BDI",HLOOKUP(R30,DADOS!$T$37:$X$38,2,FALSE),0)),15-11*$X$5)</f>
        <v>0.23</v>
      </c>
      <c r="AA30" s="4"/>
    </row>
    <row r="31" spans="1:27" x14ac:dyDescent="0.25">
      <c r="A31" t="str">
        <f>CHOOSE(1+LOG(1+2*(J31="Meta")+4*(J31="Nível 2")+8*(J31="Nível 3")+16*(J31="Nível 4")+32*(J31="Serviço"),2),0,1,2,3,4,"S")</f>
        <v>S</v>
      </c>
      <c r="B31">
        <f>IF(OR(A31="S",A31=0),0,IF(ISERROR(I31),H31,SMALL(H31:I31,1)))</f>
        <v>0</v>
      </c>
      <c r="C31">
        <f ca="1">IF($A31=1,OFFSET(C31,-1,0)+1,OFFSET(C31,-1,0))</f>
        <v>3</v>
      </c>
      <c r="D31">
        <f ca="1">IF($A31=1,0,IF($A31=2,OFFSET(D31,-1,0)+1,OFFSET(D31,-1,0)))</f>
        <v>0</v>
      </c>
      <c r="E31">
        <f ca="1">IF(AND($A31&lt;=2,$A31&lt;&gt;0),0,IF($A31=3,OFFSET(E31,-1,0)+1,OFFSET(E31,-1,0)))</f>
        <v>0</v>
      </c>
      <c r="F31">
        <f ca="1">IF(AND($A31&lt;=3,$A31&lt;&gt;0),0,IF($A31=4,OFFSET(F31,-1,0)+1,OFFSET(F31,-1,0)))</f>
        <v>0</v>
      </c>
      <c r="G31">
        <f ca="1">IF(AND($A31&lt;=4,$A31&lt;&gt;0),0,IF($A31="S",OFFSET(G31,-1,0)+1,OFFSET(G31,-1,0)))</f>
        <v>3</v>
      </c>
      <c r="H31">
        <f t="shared" ca="1" si="7"/>
        <v>0</v>
      </c>
      <c r="I31">
        <f t="shared" ca="1" si="8"/>
        <v>0</v>
      </c>
      <c r="J31" s="395" t="s">
        <v>103</v>
      </c>
      <c r="K31" s="162" t="str">
        <f ca="1">IF($A31=0,"-",CONCATENATE(C31&amp;".",IF(AND($A$5&gt;=2,$A31&gt;=2),D31&amp;".",""),IF(AND($A$5&gt;=3,$A31&gt;=3),E31&amp;".",""),IF(AND($A$5&gt;=4,$A31&gt;=4),F31&amp;".",""),IF($A31="S",G31&amp;".","")))</f>
        <v>3.3.</v>
      </c>
      <c r="L31" s="396" t="s">
        <v>238</v>
      </c>
      <c r="M31" s="396" t="s">
        <v>314</v>
      </c>
      <c r="N31" s="397" t="s">
        <v>355</v>
      </c>
      <c r="O31" s="398" t="s">
        <v>251</v>
      </c>
      <c r="P31" s="399">
        <v>4</v>
      </c>
      <c r="Q31" s="228"/>
      <c r="R31" s="231" t="s">
        <v>7</v>
      </c>
      <c r="S31" s="121">
        <f>IF($A31="S",IF($Q$10="Preço Unitário (R$)",PO.CustoUnitario,ROUND(PO.CustoUnitario*(1+$Z31),15-13*$X$6)),0)</f>
        <v>0</v>
      </c>
      <c r="T31" s="98">
        <f>IF($A31="S",VTOTAL1,IF($A31=0,0,ROUND(SomaAgrup,15-13*$X$7)))</f>
        <v>0</v>
      </c>
      <c r="U31" s="13" t="str">
        <f>IF($J31="","",IF($N31="","DESCRIÇÃO",IF(AND($J31="Serviço",$O31=""),"UNIDADE",IF($T31&lt;=0,"SEM VALOR",IF(AND($Y31&lt;&gt;"",$Q31&gt;$Y31),"ACIMA REF.","")))))</f>
        <v>SEM VALOR</v>
      </c>
      <c r="V31" s="4" t="str">
        <f ca="1">IF(OR($A31=0,$A31="S",$A31&gt;CFF!$A$9),"",MAX(V$12:OFFSET(V31,-1,0))+1)</f>
        <v/>
      </c>
      <c r="W31" s="9" t="str">
        <f>IF(AND($J31="Serviço",$M31&lt;&gt;""),IF($L31="",$M31,CONCATENATE($L31,"-",$M31)))</f>
        <v>SICRO-0804101</v>
      </c>
      <c r="X31" s="4" t="e">
        <f ca="1">IF(AND(Fonte&lt;&gt;"",Código&lt;&gt;""),MATCH(Fonte&amp;" "&amp;IF(Fonte="sinapi",SUBSTITUTE(SUBSTITUTE(Código,"/00","/"),"/0","/"),Código),INDIRECT("'[Referência "&amp;_xlnm.Database&amp;".xls]Banco'!$a:$a"),0),"X")</f>
        <v>#N/A</v>
      </c>
      <c r="Y31" s="121">
        <v>1241.75</v>
      </c>
      <c r="Z31" s="132">
        <f ca="1">ROUND(IF(ISNUMBER(R31),R31,IF(LEFT(R31,3)="BDI",HLOOKUP(R31,DADOS!$T$37:$X$38,2,FALSE),0)),15-11*$X$5)</f>
        <v>0.23</v>
      </c>
      <c r="AA31" s="4"/>
    </row>
    <row r="32" spans="1:27" ht="26.4" x14ac:dyDescent="0.25">
      <c r="A32" t="str">
        <f t="shared" si="15"/>
        <v>S</v>
      </c>
      <c r="B32">
        <f t="shared" si="16"/>
        <v>0</v>
      </c>
      <c r="C32">
        <f t="shared" ca="1" si="17"/>
        <v>3</v>
      </c>
      <c r="D32">
        <f t="shared" ca="1" si="18"/>
        <v>0</v>
      </c>
      <c r="E32">
        <f t="shared" ca="1" si="19"/>
        <v>0</v>
      </c>
      <c r="F32">
        <f t="shared" ca="1" si="20"/>
        <v>0</v>
      </c>
      <c r="G32">
        <f t="shared" ca="1" si="21"/>
        <v>4</v>
      </c>
      <c r="H32">
        <f t="shared" ca="1" si="7"/>
        <v>0</v>
      </c>
      <c r="I32">
        <f t="shared" ca="1" si="8"/>
        <v>0</v>
      </c>
      <c r="J32" s="395" t="s">
        <v>103</v>
      </c>
      <c r="K32" s="162" t="str">
        <f t="shared" ca="1" si="22"/>
        <v>3.4.</v>
      </c>
      <c r="L32" s="396" t="s">
        <v>237</v>
      </c>
      <c r="M32" s="396" t="s">
        <v>249</v>
      </c>
      <c r="N32" s="397" t="s">
        <v>296</v>
      </c>
      <c r="O32" s="398" t="s">
        <v>241</v>
      </c>
      <c r="P32" s="399">
        <v>48</v>
      </c>
      <c r="Q32" s="228"/>
      <c r="R32" s="231" t="s">
        <v>7</v>
      </c>
      <c r="S32" s="121">
        <f t="shared" si="23"/>
        <v>0</v>
      </c>
      <c r="T32" s="98">
        <f t="shared" si="24"/>
        <v>0</v>
      </c>
      <c r="U32" s="13" t="str">
        <f t="shared" si="25"/>
        <v>SEM VALOR</v>
      </c>
      <c r="V32" s="4" t="str">
        <f ca="1">IF(OR($A32=0,$A32="S",$A32&gt;CFF!$A$9),"",MAX(V$12:OFFSET(V32,-1,0))+1)</f>
        <v/>
      </c>
      <c r="W32" s="9" t="str">
        <f t="shared" si="26"/>
        <v>SINAPI-92214</v>
      </c>
      <c r="X32" s="4">
        <f t="shared" ca="1" si="27"/>
        <v>329</v>
      </c>
      <c r="Y32" s="121">
        <v>583.95000000000005</v>
      </c>
      <c r="Z32" s="132">
        <f ca="1">ROUND(IF(ISNUMBER(R32),R32,IF(LEFT(R32,3)="BDI",HLOOKUP(R32,DADOS!$T$37:$X$38,2,FALSE),0)),15-11*$X$5)</f>
        <v>0.23</v>
      </c>
      <c r="AA32" s="4"/>
    </row>
    <row r="33" spans="1:27" x14ac:dyDescent="0.25">
      <c r="A33" t="str">
        <f t="shared" ref="A33:A46" si="28">CHOOSE(1+LOG(1+2*(J33="Meta")+4*(J33="Nível 2")+8*(J33="Nível 3")+16*(J33="Nível 4")+32*(J33="Serviço"),2),0,1,2,3,4,"S")</f>
        <v>S</v>
      </c>
      <c r="B33">
        <f t="shared" ref="B33:B46" si="29">IF(OR(A33="S",A33=0),0,IF(ISERROR(I33),H33,SMALL(H33:I33,1)))</f>
        <v>0</v>
      </c>
      <c r="C33">
        <f t="shared" ref="C33:C46" ca="1" si="30">IF($A33=1,OFFSET(C33,-1,0)+1,OFFSET(C33,-1,0))</f>
        <v>3</v>
      </c>
      <c r="D33">
        <f t="shared" ref="D33:D46" ca="1" si="31">IF($A33=1,0,IF($A33=2,OFFSET(D33,-1,0)+1,OFFSET(D33,-1,0)))</f>
        <v>0</v>
      </c>
      <c r="E33">
        <f t="shared" ref="E33:E46" ca="1" si="32">IF(AND($A33&lt;=2,$A33&lt;&gt;0),0,IF($A33=3,OFFSET(E33,-1,0)+1,OFFSET(E33,-1,0)))</f>
        <v>0</v>
      </c>
      <c r="F33">
        <f t="shared" ref="F33:F46" ca="1" si="33">IF(AND($A33&lt;=3,$A33&lt;&gt;0),0,IF($A33=4,OFFSET(F33,-1,0)+1,OFFSET(F33,-1,0)))</f>
        <v>0</v>
      </c>
      <c r="G33">
        <f t="shared" ref="G33:G46" ca="1" si="34">IF(AND($A33&lt;=4,$A33&lt;&gt;0),0,IF($A33="S",OFFSET(G33,-1,0)+1,OFFSET(G33,-1,0)))</f>
        <v>5</v>
      </c>
      <c r="H33">
        <f t="shared" ca="1" si="7"/>
        <v>0</v>
      </c>
      <c r="I33">
        <f t="shared" ca="1" si="8"/>
        <v>0</v>
      </c>
      <c r="J33" s="395" t="s">
        <v>103</v>
      </c>
      <c r="K33" s="162" t="str">
        <f t="shared" ref="K33:K46" ca="1" si="35">IF($A33=0,"-",CONCATENATE(C33&amp;".",IF(AND($A$5&gt;=2,$A33&gt;=2),D33&amp;".",""),IF(AND($A$5&gt;=3,$A33&gt;=3),E33&amp;".",""),IF(AND($A$5&gt;=4,$A33&gt;=4),F33&amp;".",""),IF($A33="S",G33&amp;".","")))</f>
        <v>3.5.</v>
      </c>
      <c r="L33" s="396" t="s">
        <v>238</v>
      </c>
      <c r="M33" s="396" t="s">
        <v>283</v>
      </c>
      <c r="N33" s="397" t="s">
        <v>284</v>
      </c>
      <c r="O33" s="398" t="s">
        <v>251</v>
      </c>
      <c r="P33" s="399">
        <v>4</v>
      </c>
      <c r="Q33" s="228"/>
      <c r="R33" s="231" t="s">
        <v>7</v>
      </c>
      <c r="S33" s="121">
        <f t="shared" ref="S33:S46" si="36">IF($A33="S",IF($Q$10="Preço Unitário (R$)",PO.CustoUnitario,ROUND(PO.CustoUnitario*(1+$Z33),15-13*$X$6)),0)</f>
        <v>0</v>
      </c>
      <c r="T33" s="98">
        <f t="shared" ref="T33:T46" si="37">IF($A33="S",VTOTAL1,IF($A33=0,0,ROUND(SomaAgrup,15-13*$X$7)))</f>
        <v>0</v>
      </c>
      <c r="U33" s="13" t="str">
        <f t="shared" ref="U33:U46" si="38">IF($J33="","",IF($N33="","DESCRIÇÃO",IF(AND($J33="Serviço",$O33=""),"UNIDADE",IF($T33&lt;=0,"SEM VALOR",IF(AND($Y33&lt;&gt;"",$Q33&gt;$Y33),"ACIMA REF.","")))))</f>
        <v>SEM VALOR</v>
      </c>
      <c r="V33" s="4" t="str">
        <f ca="1">IF(OR($A33=0,$A33="S",$A33&gt;CFF!$A$9),"",MAX(V$12:OFFSET(V33,-1,0))+1)</f>
        <v/>
      </c>
      <c r="W33" s="9" t="str">
        <f t="shared" ref="W33:W46" si="39">IF(AND($J33="Serviço",$M33&lt;&gt;""),IF($L33="",$M33,CONCATENATE($L33,"-",$M33)))</f>
        <v>SICRO-2003519</v>
      </c>
      <c r="X33" s="4" t="e">
        <f t="shared" ref="X33:X46" ca="1" si="40">IF(AND(Fonte&lt;&gt;"",Código&lt;&gt;""),MATCH(Fonte&amp;" "&amp;IF(Fonte="sinapi",SUBSTITUTE(SUBSTITUTE(Código,"/00","/"),"/0","/"),Código),INDIRECT("'[Referência "&amp;_xlnm.Database&amp;".xls]Banco'!$a:$a"),0),"X")</f>
        <v>#N/A</v>
      </c>
      <c r="Y33" s="121">
        <v>4117.8900000000003</v>
      </c>
      <c r="Z33" s="132">
        <f ca="1">ROUND(IF(ISNUMBER(R33),R33,IF(LEFT(R33,3)="BDI",HLOOKUP(R33,DADOS!$T$37:$X$38,2,FALSE),0)),15-11*$X$5)</f>
        <v>0.23</v>
      </c>
      <c r="AA33" s="4"/>
    </row>
    <row r="34" spans="1:27" x14ac:dyDescent="0.25">
      <c r="A34" t="str">
        <f t="shared" si="28"/>
        <v>S</v>
      </c>
      <c r="B34">
        <f t="shared" si="29"/>
        <v>0</v>
      </c>
      <c r="C34">
        <f t="shared" ca="1" si="30"/>
        <v>3</v>
      </c>
      <c r="D34">
        <f t="shared" ca="1" si="31"/>
        <v>0</v>
      </c>
      <c r="E34">
        <f t="shared" ca="1" si="32"/>
        <v>0</v>
      </c>
      <c r="F34">
        <f t="shared" ca="1" si="33"/>
        <v>0</v>
      </c>
      <c r="G34">
        <f t="shared" ca="1" si="34"/>
        <v>6</v>
      </c>
      <c r="H34">
        <f t="shared" ca="1" si="7"/>
        <v>0</v>
      </c>
      <c r="I34">
        <f t="shared" ca="1" si="8"/>
        <v>0</v>
      </c>
      <c r="J34" s="395" t="s">
        <v>103</v>
      </c>
      <c r="K34" s="162" t="str">
        <f t="shared" ca="1" si="35"/>
        <v>3.6.</v>
      </c>
      <c r="L34" s="396" t="s">
        <v>238</v>
      </c>
      <c r="M34" s="396" t="s">
        <v>250</v>
      </c>
      <c r="N34" s="397" t="s">
        <v>313</v>
      </c>
      <c r="O34" s="398" t="s">
        <v>241</v>
      </c>
      <c r="P34" s="399">
        <v>75</v>
      </c>
      <c r="Q34" s="228"/>
      <c r="R34" s="231" t="s">
        <v>7</v>
      </c>
      <c r="S34" s="121">
        <f t="shared" si="36"/>
        <v>0</v>
      </c>
      <c r="T34" s="98">
        <f t="shared" si="37"/>
        <v>0</v>
      </c>
      <c r="U34" s="13" t="str">
        <f t="shared" si="38"/>
        <v>SEM VALOR</v>
      </c>
      <c r="V34" s="4" t="str">
        <f ca="1">IF(OR($A34=0,$A34="S",$A34&gt;CFF!$A$9),"",MAX(V$12:OFFSET(V34,-1,0))+1)</f>
        <v/>
      </c>
      <c r="W34" s="9" t="str">
        <f t="shared" si="39"/>
        <v>SICRO-2003311</v>
      </c>
      <c r="X34" s="4" t="e">
        <f t="shared" ca="1" si="40"/>
        <v>#N/A</v>
      </c>
      <c r="Y34" s="121">
        <v>39.79</v>
      </c>
      <c r="Z34" s="132">
        <f ca="1">ROUND(IF(ISNUMBER(R34),R34,IF(LEFT(R34,3)="BDI",HLOOKUP(R34,DADOS!$T$37:$X$38,2,FALSE),0)),15-11*$X$5)</f>
        <v>0.23</v>
      </c>
      <c r="AA34" s="4"/>
    </row>
    <row r="35" spans="1:27" x14ac:dyDescent="0.25">
      <c r="A35" t="str">
        <f t="shared" si="28"/>
        <v>S</v>
      </c>
      <c r="B35">
        <f t="shared" si="29"/>
        <v>0</v>
      </c>
      <c r="C35">
        <f t="shared" ca="1" si="30"/>
        <v>3</v>
      </c>
      <c r="D35">
        <f t="shared" ca="1" si="31"/>
        <v>0</v>
      </c>
      <c r="E35">
        <f t="shared" ca="1" si="32"/>
        <v>0</v>
      </c>
      <c r="F35">
        <f t="shared" ca="1" si="33"/>
        <v>0</v>
      </c>
      <c r="G35">
        <f t="shared" ca="1" si="34"/>
        <v>7</v>
      </c>
      <c r="H35">
        <f t="shared" ca="1" si="7"/>
        <v>0</v>
      </c>
      <c r="I35">
        <f t="shared" ca="1" si="8"/>
        <v>0</v>
      </c>
      <c r="J35" s="395" t="s">
        <v>103</v>
      </c>
      <c r="K35" s="162" t="str">
        <f t="shared" ca="1" si="35"/>
        <v>3.7.</v>
      </c>
      <c r="L35" s="396" t="s">
        <v>238</v>
      </c>
      <c r="M35" s="396" t="s">
        <v>242</v>
      </c>
      <c r="N35" s="397" t="s">
        <v>317</v>
      </c>
      <c r="O35" s="398" t="s">
        <v>241</v>
      </c>
      <c r="P35" s="399">
        <v>75</v>
      </c>
      <c r="Q35" s="228"/>
      <c r="R35" s="231" t="s">
        <v>7</v>
      </c>
      <c r="S35" s="121">
        <f t="shared" si="36"/>
        <v>0</v>
      </c>
      <c r="T35" s="98">
        <f t="shared" si="37"/>
        <v>0</v>
      </c>
      <c r="U35" s="13" t="str">
        <f t="shared" si="38"/>
        <v>SEM VALOR</v>
      </c>
      <c r="V35" s="4" t="str">
        <f ca="1">IF(OR($A35=0,$A35="S",$A35&gt;CFF!$A$9),"",MAX(V$12:OFFSET(V35,-1,0))+1)</f>
        <v/>
      </c>
      <c r="W35" s="9" t="str">
        <f t="shared" si="39"/>
        <v>SICRO-2003305</v>
      </c>
      <c r="X35" s="4" t="e">
        <f t="shared" ca="1" si="40"/>
        <v>#N/A</v>
      </c>
      <c r="Y35" s="121">
        <v>39.79</v>
      </c>
      <c r="Z35" s="132">
        <f ca="1">ROUND(IF(ISNUMBER(R35),R35,IF(LEFT(R35,3)="BDI",HLOOKUP(R35,DADOS!$T$37:$X$38,2,FALSE),0)),15-11*$X$5)</f>
        <v>0.23</v>
      </c>
      <c r="AA35" s="4"/>
    </row>
    <row r="36" spans="1:27" x14ac:dyDescent="0.25">
      <c r="A36" t="str">
        <f t="shared" si="28"/>
        <v>S</v>
      </c>
      <c r="B36">
        <f t="shared" si="29"/>
        <v>0</v>
      </c>
      <c r="C36">
        <f t="shared" ca="1" si="30"/>
        <v>3</v>
      </c>
      <c r="D36">
        <f t="shared" ca="1" si="31"/>
        <v>0</v>
      </c>
      <c r="E36">
        <f t="shared" ca="1" si="32"/>
        <v>0</v>
      </c>
      <c r="F36">
        <f t="shared" ca="1" si="33"/>
        <v>0</v>
      </c>
      <c r="G36">
        <f t="shared" ca="1" si="34"/>
        <v>8</v>
      </c>
      <c r="H36">
        <f t="shared" ca="1" si="7"/>
        <v>0</v>
      </c>
      <c r="I36">
        <f t="shared" ca="1" si="8"/>
        <v>0</v>
      </c>
      <c r="J36" s="395" t="s">
        <v>103</v>
      </c>
      <c r="K36" s="162" t="str">
        <f t="shared" ca="1" si="35"/>
        <v>3.8.</v>
      </c>
      <c r="L36" s="396" t="s">
        <v>238</v>
      </c>
      <c r="M36" s="396" t="s">
        <v>261</v>
      </c>
      <c r="N36" s="397" t="s">
        <v>316</v>
      </c>
      <c r="O36" s="398" t="s">
        <v>251</v>
      </c>
      <c r="P36" s="399">
        <v>1</v>
      </c>
      <c r="Q36" s="228"/>
      <c r="R36" s="231" t="s">
        <v>7</v>
      </c>
      <c r="S36" s="121">
        <f t="shared" si="36"/>
        <v>0</v>
      </c>
      <c r="T36" s="98">
        <f t="shared" si="37"/>
        <v>0</v>
      </c>
      <c r="U36" s="13" t="str">
        <f t="shared" si="38"/>
        <v>SEM VALOR</v>
      </c>
      <c r="V36" s="4" t="str">
        <f ca="1">IF(OR($A36=0,$A36="S",$A36&gt;CFF!$A$9),"",MAX(V$12:OFFSET(V36,-1,0))+1)</f>
        <v/>
      </c>
      <c r="W36" s="9" t="str">
        <f t="shared" si="39"/>
        <v>SICRO-0705427</v>
      </c>
      <c r="X36" s="4" t="e">
        <f t="shared" ca="1" si="40"/>
        <v>#N/A</v>
      </c>
      <c r="Y36" s="121">
        <v>60079.23</v>
      </c>
      <c r="Z36" s="132">
        <f ca="1">ROUND(IF(ISNUMBER(R36),R36,IF(LEFT(R36,3)="BDI",HLOOKUP(R36,DADOS!$T$37:$X$38,2,FALSE),0)),15-11*$X$5)</f>
        <v>0.23</v>
      </c>
      <c r="AA36" s="4"/>
    </row>
    <row r="37" spans="1:27" x14ac:dyDescent="0.25">
      <c r="A37" t="str">
        <f>CHOOSE(1+LOG(1+2*(J37="Meta")+4*(J37="Nível 2")+8*(J37="Nível 3")+16*(J37="Nível 4")+32*(J37="Serviço"),2),0,1,2,3,4,"S")</f>
        <v>S</v>
      </c>
      <c r="B37">
        <f>IF(OR(A37="S",A37=0),0,IF(ISERROR(I37),H37,SMALL(H37:I37,1)))</f>
        <v>0</v>
      </c>
      <c r="C37">
        <f ca="1">IF($A37=1,OFFSET(C37,-1,0)+1,OFFSET(C37,-1,0))</f>
        <v>3</v>
      </c>
      <c r="D37">
        <f ca="1">IF($A37=1,0,IF($A37=2,OFFSET(D37,-1,0)+1,OFFSET(D37,-1,0)))</f>
        <v>0</v>
      </c>
      <c r="E37">
        <f ca="1">IF(AND($A37&lt;=2,$A37&lt;&gt;0),0,IF($A37=3,OFFSET(E37,-1,0)+1,OFFSET(E37,-1,0)))</f>
        <v>0</v>
      </c>
      <c r="F37">
        <f ca="1">IF(AND($A37&lt;=3,$A37&lt;&gt;0),0,IF($A37=4,OFFSET(F37,-1,0)+1,OFFSET(F37,-1,0)))</f>
        <v>0</v>
      </c>
      <c r="G37">
        <f ca="1">IF(AND($A37&lt;=4,$A37&lt;&gt;0),0,IF($A37="S",OFFSET(G37,-1,0)+1,OFFSET(G37,-1,0)))</f>
        <v>9</v>
      </c>
      <c r="H37">
        <f t="shared" ca="1" si="7"/>
        <v>0</v>
      </c>
      <c r="I37">
        <f t="shared" ca="1" si="8"/>
        <v>0</v>
      </c>
      <c r="J37" s="395" t="s">
        <v>103</v>
      </c>
      <c r="K37" s="162" t="str">
        <f ca="1">IF($A37=0,"-",CONCATENATE(C37&amp;".",IF(AND($A$5&gt;=2,$A37&gt;=2),D37&amp;".",""),IF(AND($A$5&gt;=3,$A37&gt;=3),E37&amp;".",""),IF(AND($A$5&gt;=4,$A37&gt;=4),F37&amp;".",""),IF($A37="S",G37&amp;".","")))</f>
        <v>3.9.</v>
      </c>
      <c r="L37" s="396" t="s">
        <v>237</v>
      </c>
      <c r="M37" s="396" t="s">
        <v>243</v>
      </c>
      <c r="N37" s="397" t="s">
        <v>293</v>
      </c>
      <c r="O37" s="398" t="s">
        <v>289</v>
      </c>
      <c r="P37" s="399">
        <f>9*12</f>
        <v>108</v>
      </c>
      <c r="Q37" s="228"/>
      <c r="R37" s="231" t="s">
        <v>7</v>
      </c>
      <c r="S37" s="121">
        <f>IF($A37="S",IF($Q$10="Preço Unitário (R$)",PO.CustoUnitario,ROUND(PO.CustoUnitario*(1+$Z37),15-13*$X$6)),0)</f>
        <v>0</v>
      </c>
      <c r="T37" s="98">
        <f>IF($A37="S",VTOTAL1,IF($A37=0,0,ROUND(SomaAgrup,15-13*$X$7)))</f>
        <v>0</v>
      </c>
      <c r="U37" s="13" t="str">
        <f>IF($J37="","",IF($N37="","DESCRIÇÃO",IF(AND($J37="Serviço",$O37=""),"UNIDADE",IF($T37&lt;=0,"SEM VALOR",IF(AND($Y37&lt;&gt;"",$Q37&gt;$Y37),"ACIMA REF.","")))))</f>
        <v>SEM VALOR</v>
      </c>
      <c r="V37" s="4" t="str">
        <f ca="1">IF(OR($A37=0,$A37="S",$A37&gt;CFF!$A$9),"",MAX(V$12:OFFSET(V37,-1,0))+1)</f>
        <v/>
      </c>
      <c r="W37" s="9" t="str">
        <f>IF(AND($J37="Serviço",$M37&lt;&gt;""),IF($L37="",$M37,CONCATENATE($L37,"-",$M37)))</f>
        <v>SINAPI-100576</v>
      </c>
      <c r="X37" s="4">
        <f ca="1">IF(AND(Fonte&lt;&gt;"",Código&lt;&gt;""),MATCH(Fonte&amp;" "&amp;IF(Fonte="sinapi",SUBSTITUTE(SUBSTITUTE(Código,"/00","/"),"/0","/"),Código),INDIRECT("'[Referência "&amp;_xlnm.Database&amp;".xls]Banco'!$a:$a"),0),"X")</f>
        <v>6077</v>
      </c>
      <c r="Y37" s="121">
        <v>2.72</v>
      </c>
      <c r="Z37" s="132">
        <f ca="1">ROUND(IF(ISNUMBER(R37),R37,IF(LEFT(R37,3)="BDI",HLOOKUP(R37,DADOS!$T$37:$X$38,2,FALSE),0)),15-11*$X$5)</f>
        <v>0.23</v>
      </c>
      <c r="AA37" s="4"/>
    </row>
    <row r="38" spans="1:27" ht="26.4" x14ac:dyDescent="0.25">
      <c r="A38" t="str">
        <f>CHOOSE(1+LOG(1+2*(J38="Meta")+4*(J38="Nível 2")+8*(J38="Nível 3")+16*(J38="Nível 4")+32*(J38="Serviço"),2),0,1,2,3,4,"S")</f>
        <v>S</v>
      </c>
      <c r="B38">
        <f>IF(OR(A38="S",A38=0),0,IF(ISERROR(I38),H38,SMALL(H38:I38,1)))</f>
        <v>0</v>
      </c>
      <c r="C38">
        <f ca="1">IF($A38=1,OFFSET(C38,-1,0)+1,OFFSET(C38,-1,0))</f>
        <v>3</v>
      </c>
      <c r="D38">
        <f ca="1">IF($A38=1,0,IF($A38=2,OFFSET(D38,-1,0)+1,OFFSET(D38,-1,0)))</f>
        <v>0</v>
      </c>
      <c r="E38">
        <f ca="1">IF(AND($A38&lt;=2,$A38&lt;&gt;0),0,IF($A38=3,OFFSET(E38,-1,0)+1,OFFSET(E38,-1,0)))</f>
        <v>0</v>
      </c>
      <c r="F38">
        <f ca="1">IF(AND($A38&lt;=3,$A38&lt;&gt;0),0,IF($A38=4,OFFSET(F38,-1,0)+1,OFFSET(F38,-1,0)))</f>
        <v>0</v>
      </c>
      <c r="G38">
        <f ca="1">IF(AND($A38&lt;=4,$A38&lt;&gt;0),0,IF($A38="S",OFFSET(G38,-1,0)+1,OFFSET(G38,-1,0)))</f>
        <v>10</v>
      </c>
      <c r="H38">
        <f t="shared" ca="1" si="7"/>
        <v>0</v>
      </c>
      <c r="I38">
        <f t="shared" ca="1" si="8"/>
        <v>0</v>
      </c>
      <c r="J38" s="395" t="s">
        <v>103</v>
      </c>
      <c r="K38" s="162" t="str">
        <f ca="1">IF($A38=0,"-",CONCATENATE(C38&amp;".",IF(AND($A$5&gt;=2,$A38&gt;=2),D38&amp;".",""),IF(AND($A$5&gt;=3,$A38&gt;=3),E38&amp;".",""),IF(AND($A$5&gt;=4,$A38&gt;=4),F38&amp;".",""),IF($A38="S",G38&amp;".","")))</f>
        <v>3.10.</v>
      </c>
      <c r="L38" s="396" t="s">
        <v>237</v>
      </c>
      <c r="M38" s="396" t="s">
        <v>280</v>
      </c>
      <c r="N38" s="397" t="s">
        <v>297</v>
      </c>
      <c r="O38" s="398" t="s">
        <v>289</v>
      </c>
      <c r="P38" s="399">
        <f>P37</f>
        <v>108</v>
      </c>
      <c r="Q38" s="228"/>
      <c r="R38" s="231" t="s">
        <v>7</v>
      </c>
      <c r="S38" s="121">
        <f>IF($A38="S",IF($Q$10="Preço Unitário (R$)",PO.CustoUnitario,ROUND(PO.CustoUnitario*(1+$Z38),15-13*$X$6)),0)</f>
        <v>0</v>
      </c>
      <c r="T38" s="98">
        <f>IF($A38="S",VTOTAL1,IF($A38=0,0,ROUND(SomaAgrup,15-13*$X$7)))</f>
        <v>0</v>
      </c>
      <c r="U38" s="13" t="str">
        <f>IF($J38="","",IF($N38="","DESCRIÇÃO",IF(AND($J38="Serviço",$O38=""),"UNIDADE",IF($T38&lt;=0,"SEM VALOR",IF(AND($Y38&lt;&gt;"",$Q38&gt;$Y38),"ACIMA REF.","")))))</f>
        <v>SEM VALOR</v>
      </c>
      <c r="V38" s="4" t="str">
        <f ca="1">IF(OR($A38=0,$A38="S",$A38&gt;CFF!$A$9),"",MAX(V$12:OFFSET(V38,-1,0))+1)</f>
        <v/>
      </c>
      <c r="W38" s="9" t="str">
        <f>IF(AND($J38="Serviço",$M38&lt;&gt;""),IF($L38="",$M38,CONCATENATE($L38,"-",$M38)))</f>
        <v>SINAPI-95241</v>
      </c>
      <c r="X38" s="4">
        <f ca="1">IF(AND(Fonte&lt;&gt;"",Código&lt;&gt;""),MATCH(Fonte&amp;" "&amp;IF(Fonte="sinapi",SUBSTITUTE(SUBSTITUTE(Código,"/00","/"),"/0","/"),Código),INDIRECT("'[Referência "&amp;_xlnm.Database&amp;".xls]Banco'!$a:$a"),0),"X")</f>
        <v>2331</v>
      </c>
      <c r="Y38" s="121">
        <v>46.41</v>
      </c>
      <c r="Z38" s="132">
        <f ca="1">ROUND(IF(ISNUMBER(R38),R38,IF(LEFT(R38,3)="BDI",HLOOKUP(R38,DADOS!$T$37:$X$38,2,FALSE),0)),15-11*$X$5)</f>
        <v>0.23</v>
      </c>
      <c r="AA38" s="4"/>
    </row>
    <row r="39" spans="1:27" ht="26.4" x14ac:dyDescent="0.25">
      <c r="A39" t="str">
        <f t="shared" si="28"/>
        <v>S</v>
      </c>
      <c r="B39">
        <f t="shared" si="29"/>
        <v>0</v>
      </c>
      <c r="C39">
        <f t="shared" ca="1" si="30"/>
        <v>3</v>
      </c>
      <c r="D39">
        <f t="shared" ca="1" si="31"/>
        <v>0</v>
      </c>
      <c r="E39">
        <f t="shared" ca="1" si="32"/>
        <v>0</v>
      </c>
      <c r="F39">
        <f t="shared" ca="1" si="33"/>
        <v>0</v>
      </c>
      <c r="G39">
        <f t="shared" ca="1" si="34"/>
        <v>11</v>
      </c>
      <c r="H39">
        <f t="shared" ca="1" si="7"/>
        <v>0</v>
      </c>
      <c r="I39">
        <f t="shared" ca="1" si="8"/>
        <v>0</v>
      </c>
      <c r="J39" s="395" t="s">
        <v>103</v>
      </c>
      <c r="K39" s="162" t="str">
        <f t="shared" ca="1" si="35"/>
        <v>3.11.</v>
      </c>
      <c r="L39" s="396" t="s">
        <v>238</v>
      </c>
      <c r="M39" s="396" t="s">
        <v>351</v>
      </c>
      <c r="N39" s="397" t="s">
        <v>315</v>
      </c>
      <c r="O39" s="398" t="s">
        <v>241</v>
      </c>
      <c r="P39" s="399">
        <v>1</v>
      </c>
      <c r="Q39" s="228"/>
      <c r="R39" s="231" t="s">
        <v>7</v>
      </c>
      <c r="S39" s="121">
        <f t="shared" si="36"/>
        <v>0</v>
      </c>
      <c r="T39" s="98">
        <f t="shared" si="37"/>
        <v>0</v>
      </c>
      <c r="U39" s="13" t="str">
        <f t="shared" si="38"/>
        <v>SEM VALOR</v>
      </c>
      <c r="V39" s="4" t="str">
        <f ca="1">IF(OR($A39=0,$A39="S",$A39&gt;CFF!$A$9),"",MAX(V$12:OFFSET(V39,-1,0))+1)</f>
        <v/>
      </c>
      <c r="W39" s="9" t="str">
        <f t="shared" si="39"/>
        <v>SICRO-0705387</v>
      </c>
      <c r="X39" s="4" t="e">
        <f t="shared" ca="1" si="40"/>
        <v>#N/A</v>
      </c>
      <c r="Y39" s="121">
        <v>13882.8</v>
      </c>
      <c r="Z39" s="132">
        <f ca="1">ROUND(IF(ISNUMBER(R39),R39,IF(LEFT(R39,3)="BDI",HLOOKUP(R39,DADOS!$T$37:$X$38,2,FALSE),0)),15-11*$X$5)</f>
        <v>0.23</v>
      </c>
      <c r="AA39" s="4"/>
    </row>
    <row r="40" spans="1:27" x14ac:dyDescent="0.25">
      <c r="A40" t="str">
        <f>CHOOSE(1+LOG(1+2*(J40="Meta")+4*(J40="Nível 2")+8*(J40="Nível 3")+16*(J40="Nível 4")+32*(J40="Serviço"),2),0,1,2,3,4,"S")</f>
        <v>S</v>
      </c>
      <c r="B40">
        <f>IF(OR(A40="S",A40=0),0,IF(ISERROR(I40),H40,SMALL(H40:I40,1)))</f>
        <v>0</v>
      </c>
      <c r="C40">
        <f ca="1">IF($A40=1,OFFSET(C40,-1,0)+1,OFFSET(C40,-1,0))</f>
        <v>3</v>
      </c>
      <c r="D40">
        <f ca="1">IF($A40=1,0,IF($A40=2,OFFSET(D40,-1,0)+1,OFFSET(D40,-1,0)))</f>
        <v>0</v>
      </c>
      <c r="E40">
        <f ca="1">IF(AND($A40&lt;=2,$A40&lt;&gt;0),0,IF($A40=3,OFFSET(E40,-1,0)+1,OFFSET(E40,-1,0)))</f>
        <v>0</v>
      </c>
      <c r="F40">
        <f ca="1">IF(AND($A40&lt;=3,$A40&lt;&gt;0),0,IF($A40=4,OFFSET(F40,-1,0)+1,OFFSET(F40,-1,0)))</f>
        <v>0</v>
      </c>
      <c r="G40">
        <f ca="1">IF(AND($A40&lt;=4,$A40&lt;&gt;0),0,IF($A40="S",OFFSET(G40,-1,0)+1,OFFSET(G40,-1,0)))</f>
        <v>12</v>
      </c>
      <c r="H40">
        <f t="shared" ca="1" si="7"/>
        <v>0</v>
      </c>
      <c r="I40">
        <f t="shared" ca="1" si="8"/>
        <v>0</v>
      </c>
      <c r="J40" s="395" t="s">
        <v>103</v>
      </c>
      <c r="K40" s="162" t="str">
        <f ca="1">IF($A40=0,"-",CONCATENATE(C40&amp;".",IF(AND($A$5&gt;=2,$A40&gt;=2),D40&amp;".",""),IF(AND($A$5&gt;=3,$A40&gt;=3),E40&amp;".",""),IF(AND($A$5&gt;=4,$A40&gt;=4),F40&amp;".",""),IF($A40="S",G40&amp;".","")))</f>
        <v>3.12.</v>
      </c>
      <c r="L40" s="396" t="s">
        <v>237</v>
      </c>
      <c r="M40" s="396" t="s">
        <v>332</v>
      </c>
      <c r="N40" s="397" t="s">
        <v>333</v>
      </c>
      <c r="O40" s="398" t="s">
        <v>289</v>
      </c>
      <c r="P40" s="399">
        <v>180</v>
      </c>
      <c r="Q40" s="228"/>
      <c r="R40" s="231" t="s">
        <v>7</v>
      </c>
      <c r="S40" s="121">
        <f>IF($A40="S",IF($Q$10="Preço Unitário (R$)",PO.CustoUnitario,ROUND(PO.CustoUnitario*(1+$Z40),15-13*$X$6)),0)</f>
        <v>0</v>
      </c>
      <c r="T40" s="98">
        <f>IF($A40="S",VTOTAL1,IF($A40=0,0,ROUND(SomaAgrup,15-13*$X$7)))</f>
        <v>0</v>
      </c>
      <c r="U40" s="13" t="str">
        <f>IF($J40="","",IF($N40="","DESCRIÇÃO",IF(AND($J40="Serviço",$O40=""),"UNIDADE",IF($T40&lt;=0,"SEM VALOR",IF(AND($Y40&lt;&gt;"",$Q40&gt;$Y40),"ACIMA REF.","")))))</f>
        <v>SEM VALOR</v>
      </c>
      <c r="V40" s="4" t="str">
        <f ca="1">IF(OR($A40=0,$A40="S",$A40&gt;CFF!$A$9),"",MAX(V$12:OFFSET(V40,-1,0))+1)</f>
        <v/>
      </c>
      <c r="W40" s="9" t="str">
        <f>IF(AND($J40="Serviço",$M40&lt;&gt;""),IF($L40="",$M40,CONCATENATE($L40,"-",$M40)))</f>
        <v>SINAPI-97111</v>
      </c>
      <c r="X40" s="4">
        <f ca="1">IF(AND(Fonte&lt;&gt;"",Código&lt;&gt;""),MATCH(Fonte&amp;" "&amp;IF(Fonte="sinapi",SUBSTITUTE(SUBSTITUTE(Código,"/00","/"),"/0","/"),Código),INDIRECT("'[Referência "&amp;_xlnm.Database&amp;".xls]Banco'!$a:$a"),0),"X")</f>
        <v>6231</v>
      </c>
      <c r="Y40" s="121">
        <v>308.32</v>
      </c>
      <c r="Z40" s="132">
        <f ca="1">ROUND(IF(ISNUMBER(R40),R40,IF(LEFT(R40,3)="BDI",HLOOKUP(R40,DADOS!$T$37:$X$38,2,FALSE),0)),15-11*$X$5)</f>
        <v>0.23</v>
      </c>
      <c r="AA40" s="4"/>
    </row>
    <row r="41" spans="1:27" x14ac:dyDescent="0.25">
      <c r="A41" t="str">
        <f t="shared" si="28"/>
        <v>S</v>
      </c>
      <c r="B41">
        <f t="shared" si="29"/>
        <v>0</v>
      </c>
      <c r="C41">
        <f t="shared" ca="1" si="30"/>
        <v>3</v>
      </c>
      <c r="D41">
        <f t="shared" ca="1" si="31"/>
        <v>0</v>
      </c>
      <c r="E41">
        <f t="shared" ca="1" si="32"/>
        <v>0</v>
      </c>
      <c r="F41">
        <f t="shared" ca="1" si="33"/>
        <v>0</v>
      </c>
      <c r="G41">
        <f t="shared" ca="1" si="34"/>
        <v>13</v>
      </c>
      <c r="H41">
        <f t="shared" ca="1" si="7"/>
        <v>0</v>
      </c>
      <c r="I41">
        <f t="shared" ca="1" si="8"/>
        <v>0</v>
      </c>
      <c r="J41" s="395" t="s">
        <v>103</v>
      </c>
      <c r="K41" s="162" t="str">
        <f t="shared" ca="1" si="35"/>
        <v>3.13.</v>
      </c>
      <c r="L41" s="396" t="s">
        <v>238</v>
      </c>
      <c r="M41" s="396" t="s">
        <v>319</v>
      </c>
      <c r="N41" s="397" t="s">
        <v>318</v>
      </c>
      <c r="O41" s="398" t="s">
        <v>241</v>
      </c>
      <c r="P41" s="399">
        <v>2235</v>
      </c>
      <c r="Q41" s="228"/>
      <c r="R41" s="231" t="s">
        <v>7</v>
      </c>
      <c r="S41" s="121">
        <f t="shared" si="36"/>
        <v>0</v>
      </c>
      <c r="T41" s="98">
        <f t="shared" si="37"/>
        <v>0</v>
      </c>
      <c r="U41" s="13" t="str">
        <f t="shared" si="38"/>
        <v>SEM VALOR</v>
      </c>
      <c r="V41" s="4" t="str">
        <f ca="1">IF(OR($A41=0,$A41="S",$A41&gt;CFF!$A$9),"",MAX(V$12:OFFSET(V41,-1,0))+1)</f>
        <v/>
      </c>
      <c r="W41" s="9" t="str">
        <f t="shared" si="39"/>
        <v>SICRO-2003347</v>
      </c>
      <c r="X41" s="4" t="e">
        <f t="shared" ca="1" si="40"/>
        <v>#N/A</v>
      </c>
      <c r="Y41" s="121">
        <v>15.49</v>
      </c>
      <c r="Z41" s="132">
        <f ca="1">ROUND(IF(ISNUMBER(R41),R41,IF(LEFT(R41,3)="BDI",HLOOKUP(R41,DADOS!$T$37:$X$38,2,FALSE),0)),15-11*$X$5)</f>
        <v>0.23</v>
      </c>
      <c r="AA41" s="4"/>
    </row>
    <row r="42" spans="1:27" x14ac:dyDescent="0.25">
      <c r="A42" t="str">
        <f t="shared" si="28"/>
        <v>S</v>
      </c>
      <c r="B42">
        <f t="shared" si="29"/>
        <v>0</v>
      </c>
      <c r="C42">
        <f t="shared" ca="1" si="30"/>
        <v>3</v>
      </c>
      <c r="D42">
        <f t="shared" ca="1" si="31"/>
        <v>0</v>
      </c>
      <c r="E42">
        <f t="shared" ca="1" si="32"/>
        <v>0</v>
      </c>
      <c r="F42">
        <f t="shared" ca="1" si="33"/>
        <v>0</v>
      </c>
      <c r="G42">
        <f t="shared" ca="1" si="34"/>
        <v>14</v>
      </c>
      <c r="H42">
        <f t="shared" ca="1" si="7"/>
        <v>0</v>
      </c>
      <c r="I42">
        <f t="shared" ca="1" si="8"/>
        <v>0</v>
      </c>
      <c r="J42" s="395" t="s">
        <v>103</v>
      </c>
      <c r="K42" s="162" t="str">
        <f t="shared" ca="1" si="35"/>
        <v>3.14.</v>
      </c>
      <c r="L42" s="396" t="s">
        <v>238</v>
      </c>
      <c r="M42" s="396" t="s">
        <v>323</v>
      </c>
      <c r="N42" s="397" t="s">
        <v>320</v>
      </c>
      <c r="O42" s="398" t="s">
        <v>241</v>
      </c>
      <c r="P42" s="399">
        <v>360</v>
      </c>
      <c r="Q42" s="228"/>
      <c r="R42" s="231" t="s">
        <v>7</v>
      </c>
      <c r="S42" s="121">
        <f t="shared" si="36"/>
        <v>0</v>
      </c>
      <c r="T42" s="98">
        <f t="shared" si="37"/>
        <v>0</v>
      </c>
      <c r="U42" s="13" t="str">
        <f t="shared" si="38"/>
        <v>SEM VALOR</v>
      </c>
      <c r="V42" s="4" t="str">
        <f ca="1">IF(OR($A42=0,$A42="S",$A42&gt;CFF!$A$9),"",MAX(V$12:OFFSET(V42,-1,0))+1)</f>
        <v/>
      </c>
      <c r="W42" s="9" t="str">
        <f t="shared" si="39"/>
        <v>SICRO-2003565</v>
      </c>
      <c r="X42" s="4" t="e">
        <f t="shared" ca="1" si="40"/>
        <v>#N/A</v>
      </c>
      <c r="Y42" s="121">
        <v>128.13999999999999</v>
      </c>
      <c r="Z42" s="132">
        <f ca="1">ROUND(IF(ISNUMBER(R42),R42,IF(LEFT(R42,3)="BDI",HLOOKUP(R42,DADOS!$T$37:$X$38,2,FALSE),0)),15-11*$X$5)</f>
        <v>0.23</v>
      </c>
      <c r="AA42" s="4"/>
    </row>
    <row r="43" spans="1:27" ht="26.4" x14ac:dyDescent="0.25">
      <c r="A43" t="str">
        <f t="shared" si="28"/>
        <v>S</v>
      </c>
      <c r="B43">
        <f t="shared" si="29"/>
        <v>0</v>
      </c>
      <c r="C43">
        <f t="shared" ca="1" si="30"/>
        <v>3</v>
      </c>
      <c r="D43">
        <f t="shared" ca="1" si="31"/>
        <v>0</v>
      </c>
      <c r="E43">
        <f t="shared" ca="1" si="32"/>
        <v>0</v>
      </c>
      <c r="F43">
        <f t="shared" ca="1" si="33"/>
        <v>0</v>
      </c>
      <c r="G43">
        <f t="shared" ca="1" si="34"/>
        <v>15</v>
      </c>
      <c r="H43">
        <f t="shared" ca="1" si="7"/>
        <v>0</v>
      </c>
      <c r="I43">
        <f t="shared" ca="1" si="8"/>
        <v>0</v>
      </c>
      <c r="J43" s="395" t="s">
        <v>103</v>
      </c>
      <c r="K43" s="162" t="str">
        <f t="shared" ca="1" si="35"/>
        <v>3.15.</v>
      </c>
      <c r="L43" s="396" t="s">
        <v>238</v>
      </c>
      <c r="M43" s="396" t="s">
        <v>322</v>
      </c>
      <c r="N43" s="397" t="s">
        <v>321</v>
      </c>
      <c r="O43" s="398" t="s">
        <v>251</v>
      </c>
      <c r="P43" s="399">
        <v>2</v>
      </c>
      <c r="Q43" s="228"/>
      <c r="R43" s="231" t="s">
        <v>7</v>
      </c>
      <c r="S43" s="121">
        <f t="shared" si="36"/>
        <v>0</v>
      </c>
      <c r="T43" s="98">
        <f t="shared" si="37"/>
        <v>0</v>
      </c>
      <c r="U43" s="13" t="str">
        <f t="shared" si="38"/>
        <v>SEM VALOR</v>
      </c>
      <c r="V43" s="4" t="str">
        <f ca="1">IF(OR($A43=0,$A43="S",$A43&gt;CFF!$A$9),"",MAX(V$12:OFFSET(V43,-1,0))+1)</f>
        <v/>
      </c>
      <c r="W43" s="9" t="str">
        <f t="shared" si="39"/>
        <v>SICRO-2003601</v>
      </c>
      <c r="X43" s="4" t="e">
        <f t="shared" ca="1" si="40"/>
        <v>#N/A</v>
      </c>
      <c r="Y43" s="121">
        <v>251.01</v>
      </c>
      <c r="Z43" s="132">
        <f ca="1">ROUND(IF(ISNUMBER(R43),R43,IF(LEFT(R43,3)="BDI",HLOOKUP(R43,DADOS!$T$37:$X$38,2,FALSE),0)),15-11*$X$5)</f>
        <v>0.23</v>
      </c>
      <c r="AA43" s="4"/>
    </row>
    <row r="44" spans="1:27" ht="26.4" x14ac:dyDescent="0.25">
      <c r="A44" t="str">
        <f t="shared" si="28"/>
        <v>S</v>
      </c>
      <c r="B44">
        <f t="shared" si="29"/>
        <v>0</v>
      </c>
      <c r="C44">
        <f t="shared" ca="1" si="30"/>
        <v>3</v>
      </c>
      <c r="D44">
        <f t="shared" ca="1" si="31"/>
        <v>0</v>
      </c>
      <c r="E44">
        <f t="shared" ca="1" si="32"/>
        <v>0</v>
      </c>
      <c r="F44">
        <f t="shared" ca="1" si="33"/>
        <v>0</v>
      </c>
      <c r="G44">
        <f t="shared" ca="1" si="34"/>
        <v>16</v>
      </c>
      <c r="H44">
        <f t="shared" ca="1" si="7"/>
        <v>0</v>
      </c>
      <c r="I44">
        <f t="shared" ca="1" si="8"/>
        <v>0</v>
      </c>
      <c r="J44" s="395" t="s">
        <v>103</v>
      </c>
      <c r="K44" s="162" t="str">
        <f t="shared" ca="1" si="35"/>
        <v>3.16.</v>
      </c>
      <c r="L44" s="396" t="s">
        <v>238</v>
      </c>
      <c r="M44" s="396" t="s">
        <v>325</v>
      </c>
      <c r="N44" s="397" t="s">
        <v>324</v>
      </c>
      <c r="O44" s="398" t="s">
        <v>241</v>
      </c>
      <c r="P44" s="399">
        <v>940</v>
      </c>
      <c r="Q44" s="228"/>
      <c r="R44" s="231" t="s">
        <v>7</v>
      </c>
      <c r="S44" s="121">
        <f t="shared" si="36"/>
        <v>0</v>
      </c>
      <c r="T44" s="98">
        <f t="shared" si="37"/>
        <v>0</v>
      </c>
      <c r="U44" s="13" t="str">
        <f t="shared" si="38"/>
        <v>SEM VALOR</v>
      </c>
      <c r="V44" s="4" t="str">
        <f ca="1">IF(OR($A44=0,$A44="S",$A44&gt;CFF!$A$9),"",MAX(V$12:OFFSET(V44,-1,0))+1)</f>
        <v/>
      </c>
      <c r="W44" s="9" t="str">
        <f t="shared" si="39"/>
        <v>SICRO-2003973</v>
      </c>
      <c r="X44" s="4" t="e">
        <f t="shared" ca="1" si="40"/>
        <v>#N/A</v>
      </c>
      <c r="Y44" s="121">
        <v>49.9</v>
      </c>
      <c r="Z44" s="132">
        <f ca="1">ROUND(IF(ISNUMBER(R44),R44,IF(LEFT(R44,3)="BDI",HLOOKUP(R44,DADOS!$T$37:$X$38,2,FALSE),0)),15-11*$X$5)</f>
        <v>0.23</v>
      </c>
      <c r="AA44" s="4"/>
    </row>
    <row r="45" spans="1:27" x14ac:dyDescent="0.25">
      <c r="A45" t="str">
        <f>CHOOSE(1+LOG(1+2*(J45="Meta")+4*(J45="Nível 2")+8*(J45="Nível 3")+16*(J45="Nível 4")+32*(J45="Serviço"),2),0,1,2,3,4,"S")</f>
        <v>S</v>
      </c>
      <c r="B45">
        <f>IF(OR(A45="S",A45=0),0,IF(ISERROR(I45),H45,SMALL(H45:I45,1)))</f>
        <v>0</v>
      </c>
      <c r="C45">
        <f ca="1">IF($A45=1,OFFSET(C45,-1,0)+1,OFFSET(C45,-1,0))</f>
        <v>3</v>
      </c>
      <c r="D45">
        <f ca="1">IF($A45=1,0,IF($A45=2,OFFSET(D45,-1,0)+1,OFFSET(D45,-1,0)))</f>
        <v>0</v>
      </c>
      <c r="E45">
        <f ca="1">IF(AND($A45&lt;=2,$A45&lt;&gt;0),0,IF($A45=3,OFFSET(E45,-1,0)+1,OFFSET(E45,-1,0)))</f>
        <v>0</v>
      </c>
      <c r="F45">
        <f ca="1">IF(AND($A45&lt;=3,$A45&lt;&gt;0),0,IF($A45=4,OFFSET(F45,-1,0)+1,OFFSET(F45,-1,0)))</f>
        <v>0</v>
      </c>
      <c r="G45">
        <f ca="1">IF(AND($A45&lt;=4,$A45&lt;&gt;0),0,IF($A45="S",OFFSET(G45,-1,0)+1,OFFSET(G45,-1,0)))</f>
        <v>17</v>
      </c>
      <c r="H45">
        <f t="shared" ref="H45:H70" ca="1" si="41">IF(OR($A45="S",$A45=0),0,MATCH(0,OFFSET($B45,1,$A45,ROW($A$71)-ROW($A45)),0))</f>
        <v>0</v>
      </c>
      <c r="I45">
        <f t="shared" ref="I45:I70" ca="1" si="42">IF(OR($A45="S",$A45=0),0,MATCH(OFFSET($B45,0,$A45)+1,OFFSET($B45,1,$A45,ROW($A$71)-ROW($A45)),0))</f>
        <v>0</v>
      </c>
      <c r="J45" s="395" t="s">
        <v>103</v>
      </c>
      <c r="K45" s="162" t="str">
        <f ca="1">IF($A45=0,"-",CONCATENATE(C45&amp;".",IF(AND($A$5&gt;=2,$A45&gt;=2),D45&amp;".",""),IF(AND($A$5&gt;=3,$A45&gt;=3),E45&amp;".",""),IF(AND($A$5&gt;=4,$A45&gt;=4),F45&amp;".",""),IF($A45="S",G45&amp;".","")))</f>
        <v>3.17.</v>
      </c>
      <c r="L45" s="396" t="s">
        <v>238</v>
      </c>
      <c r="M45" s="396" t="s">
        <v>329</v>
      </c>
      <c r="N45" s="397" t="s">
        <v>330</v>
      </c>
      <c r="O45" s="398" t="s">
        <v>241</v>
      </c>
      <c r="P45" s="399">
        <f>50*5</f>
        <v>250</v>
      </c>
      <c r="Q45" s="228"/>
      <c r="R45" s="231" t="s">
        <v>7</v>
      </c>
      <c r="S45" s="121">
        <f>IF($A45="S",IF($Q$10="Preço Unitário (R$)",PO.CustoUnitario,ROUND(PO.CustoUnitario*(1+$Z45),15-13*$X$6)),0)</f>
        <v>0</v>
      </c>
      <c r="T45" s="98">
        <f>IF($A45="S",VTOTAL1,IF($A45=0,0,ROUND(SomaAgrup,15-13*$X$7)))</f>
        <v>0</v>
      </c>
      <c r="U45" s="13" t="str">
        <f>IF($J45="","",IF($N45="","DESCRIÇÃO",IF(AND($J45="Serviço",$O45=""),"UNIDADE",IF($T45&lt;=0,"SEM VALOR",IF(AND($Y45&lt;&gt;"",$Q45&gt;$Y45),"ACIMA REF.","")))))</f>
        <v>SEM VALOR</v>
      </c>
      <c r="V45" s="4" t="str">
        <f ca="1">IF(OR($A45=0,$A45="S",$A45&gt;CFF!$A$9),"",MAX(V$12:OFFSET(V45,-1,0))+1)</f>
        <v/>
      </c>
      <c r="W45" s="9" t="str">
        <f>IF(AND($J45="Serviço",$M45&lt;&gt;""),IF($L45="",$M45,CONCATENATE($L45,"-",$M45)))</f>
        <v>SICRO-2003359</v>
      </c>
      <c r="X45" s="4" t="e">
        <f ca="1">IF(AND(Fonte&lt;&gt;"",Código&lt;&gt;""),MATCH(Fonte&amp;" "&amp;IF(Fonte="sinapi",SUBSTITUTE(SUBSTITUTE(Código,"/00","/"),"/0","/"),Código),INDIRECT("'[Referência "&amp;_xlnm.Database&amp;".xls]Banco'!$a:$a"),0),"X")</f>
        <v>#N/A</v>
      </c>
      <c r="Y45" s="121">
        <v>248.79</v>
      </c>
      <c r="Z45" s="132">
        <f ca="1">ROUND(IF(ISNUMBER(R45),R45,IF(LEFT(R45,3)="BDI",HLOOKUP(R45,DADOS!$T$37:$X$38,2,FALSE),0)),15-11*$X$5)</f>
        <v>0.23</v>
      </c>
      <c r="AA45" s="4"/>
    </row>
    <row r="46" spans="1:27" ht="26.4" x14ac:dyDescent="0.25">
      <c r="A46" t="str">
        <f t="shared" si="28"/>
        <v>S</v>
      </c>
      <c r="B46">
        <f t="shared" si="29"/>
        <v>0</v>
      </c>
      <c r="C46">
        <f t="shared" ca="1" si="30"/>
        <v>3</v>
      </c>
      <c r="D46">
        <f t="shared" ca="1" si="31"/>
        <v>0</v>
      </c>
      <c r="E46">
        <f t="shared" ca="1" si="32"/>
        <v>0</v>
      </c>
      <c r="F46">
        <f t="shared" ca="1" si="33"/>
        <v>0</v>
      </c>
      <c r="G46">
        <f t="shared" ca="1" si="34"/>
        <v>18</v>
      </c>
      <c r="H46">
        <f t="shared" ca="1" si="41"/>
        <v>0</v>
      </c>
      <c r="I46">
        <f t="shared" ca="1" si="42"/>
        <v>0</v>
      </c>
      <c r="J46" s="395" t="s">
        <v>103</v>
      </c>
      <c r="K46" s="162" t="str">
        <f t="shared" ca="1" si="35"/>
        <v>3.18.</v>
      </c>
      <c r="L46" s="396" t="s">
        <v>237</v>
      </c>
      <c r="M46" s="396" t="s">
        <v>278</v>
      </c>
      <c r="N46" s="397" t="s">
        <v>279</v>
      </c>
      <c r="O46" s="398" t="s">
        <v>359</v>
      </c>
      <c r="P46" s="399">
        <f>(6.3*3*12)*25</f>
        <v>5670</v>
      </c>
      <c r="Q46" s="228"/>
      <c r="R46" s="231" t="s">
        <v>7</v>
      </c>
      <c r="S46" s="121">
        <f t="shared" si="36"/>
        <v>0</v>
      </c>
      <c r="T46" s="98">
        <f t="shared" si="37"/>
        <v>0</v>
      </c>
      <c r="U46" s="13" t="str">
        <f t="shared" si="38"/>
        <v>SEM VALOR</v>
      </c>
      <c r="V46" s="4" t="str">
        <f ca="1">IF(OR($A46=0,$A46="S",$A46&gt;CFF!$A$9),"",MAX(V$12:OFFSET(V46,-1,0))+1)</f>
        <v/>
      </c>
      <c r="W46" s="9" t="str">
        <f t="shared" si="39"/>
        <v>SINAPI-100952</v>
      </c>
      <c r="X46" s="4">
        <f t="shared" ca="1" si="40"/>
        <v>7224</v>
      </c>
      <c r="Y46" s="121">
        <v>3.62</v>
      </c>
      <c r="Z46" s="132">
        <f ca="1">ROUND(IF(ISNUMBER(R46),R46,IF(LEFT(R46,3)="BDI",HLOOKUP(R46,DADOS!$T$37:$X$38,2,FALSE),0)),15-11*$X$5)</f>
        <v>0.23</v>
      </c>
      <c r="AA46" s="4"/>
    </row>
    <row r="47" spans="1:27" x14ac:dyDescent="0.25">
      <c r="A47">
        <f t="shared" si="15"/>
        <v>1</v>
      </c>
      <c r="B47">
        <f t="shared" ca="1" si="16"/>
        <v>13</v>
      </c>
      <c r="C47">
        <f t="shared" ca="1" si="17"/>
        <v>4</v>
      </c>
      <c r="D47">
        <f t="shared" ca="1" si="18"/>
        <v>0</v>
      </c>
      <c r="E47">
        <f t="shared" ca="1" si="19"/>
        <v>0</v>
      </c>
      <c r="F47">
        <f t="shared" ca="1" si="20"/>
        <v>0</v>
      </c>
      <c r="G47">
        <f t="shared" ca="1" si="21"/>
        <v>0</v>
      </c>
      <c r="H47">
        <f t="shared" ca="1" si="41"/>
        <v>24</v>
      </c>
      <c r="I47">
        <f t="shared" ca="1" si="42"/>
        <v>13</v>
      </c>
      <c r="J47" s="395" t="s">
        <v>99</v>
      </c>
      <c r="K47" s="162" t="str">
        <f t="shared" ca="1" si="22"/>
        <v>4.</v>
      </c>
      <c r="L47" s="396"/>
      <c r="M47" s="396"/>
      <c r="N47" s="397" t="s">
        <v>270</v>
      </c>
      <c r="O47" s="398" t="s">
        <v>106</v>
      </c>
      <c r="P47" s="399"/>
      <c r="Q47" s="228"/>
      <c r="R47" s="231" t="s">
        <v>7</v>
      </c>
      <c r="S47" s="121">
        <f t="shared" si="23"/>
        <v>0</v>
      </c>
      <c r="T47" s="98">
        <f t="shared" ca="1" si="24"/>
        <v>0</v>
      </c>
      <c r="U47" s="13" t="str">
        <f t="shared" ca="1" si="25"/>
        <v>SEM VALOR</v>
      </c>
      <c r="V47" s="4">
        <f ca="1">IF(OR($A47=0,$A47="S",$A47&gt;CFF!$A$9),"",MAX(V$12:OFFSET(V47,-1,0))+1)</f>
        <v>4</v>
      </c>
      <c r="W47" s="9" t="b">
        <f t="shared" si="26"/>
        <v>0</v>
      </c>
      <c r="X47" s="4" t="str">
        <f t="shared" ca="1" si="27"/>
        <v>X</v>
      </c>
      <c r="Y47" s="121">
        <v>0</v>
      </c>
      <c r="Z47" s="132">
        <f ca="1">ROUND(IF(ISNUMBER(R47),R47,IF(LEFT(R47,3)="BDI",HLOOKUP(R47,DADOS!$T$37:$X$38,2,FALSE),0)),15-11*$X$5)</f>
        <v>0.23</v>
      </c>
      <c r="AA47" s="4"/>
    </row>
    <row r="48" spans="1:27" x14ac:dyDescent="0.25">
      <c r="A48" t="str">
        <f t="shared" si="15"/>
        <v>S</v>
      </c>
      <c r="B48">
        <f t="shared" si="16"/>
        <v>0</v>
      </c>
      <c r="C48">
        <f t="shared" ca="1" si="17"/>
        <v>4</v>
      </c>
      <c r="D48">
        <f t="shared" ca="1" si="18"/>
        <v>0</v>
      </c>
      <c r="E48">
        <f t="shared" ca="1" si="19"/>
        <v>0</v>
      </c>
      <c r="F48">
        <f t="shared" ca="1" si="20"/>
        <v>0</v>
      </c>
      <c r="G48">
        <f t="shared" ca="1" si="21"/>
        <v>1</v>
      </c>
      <c r="H48">
        <f t="shared" ca="1" si="41"/>
        <v>0</v>
      </c>
      <c r="I48">
        <f t="shared" ca="1" si="42"/>
        <v>0</v>
      </c>
      <c r="J48" s="395" t="s">
        <v>103</v>
      </c>
      <c r="K48" s="162" t="str">
        <f t="shared" ca="1" si="22"/>
        <v>4.1.</v>
      </c>
      <c r="L48" s="396" t="s">
        <v>237</v>
      </c>
      <c r="M48" s="396" t="s">
        <v>262</v>
      </c>
      <c r="N48" s="397" t="s">
        <v>298</v>
      </c>
      <c r="O48" s="398" t="s">
        <v>241</v>
      </c>
      <c r="P48" s="399">
        <f>P15</f>
        <v>1000</v>
      </c>
      <c r="Q48" s="228"/>
      <c r="R48" s="231" t="s">
        <v>7</v>
      </c>
      <c r="S48" s="121">
        <f t="shared" si="23"/>
        <v>0</v>
      </c>
      <c r="T48" s="98">
        <f t="shared" si="24"/>
        <v>0</v>
      </c>
      <c r="U48" s="13" t="str">
        <f t="shared" si="25"/>
        <v>SEM VALOR</v>
      </c>
      <c r="V48" s="4" t="str">
        <f ca="1">IF(OR($A48=0,$A48="S",$A48&gt;CFF!$A$9),"",MAX(V$12:OFFSET(V48,-1,0))+1)</f>
        <v/>
      </c>
      <c r="W48" s="9" t="str">
        <f t="shared" si="26"/>
        <v>SINAPI-99064</v>
      </c>
      <c r="X48" s="4" t="e">
        <f t="shared" ca="1" si="27"/>
        <v>#N/A</v>
      </c>
      <c r="Y48" s="121">
        <v>0</v>
      </c>
      <c r="Z48" s="132">
        <f ca="1">ROUND(IF(ISNUMBER(R48),R48,IF(LEFT(R48,3)="BDI",HLOOKUP(R48,DADOS!$T$37:$X$38,2,FALSE),0)),15-11*$X$5)</f>
        <v>0.23</v>
      </c>
      <c r="AA48" s="4"/>
    </row>
    <row r="49" spans="1:27" ht="26.4" x14ac:dyDescent="0.25">
      <c r="A49" t="str">
        <f t="shared" si="15"/>
        <v>S</v>
      </c>
      <c r="B49">
        <f t="shared" si="16"/>
        <v>0</v>
      </c>
      <c r="C49">
        <f t="shared" ca="1" si="17"/>
        <v>4</v>
      </c>
      <c r="D49">
        <f t="shared" ca="1" si="18"/>
        <v>0</v>
      </c>
      <c r="E49">
        <f t="shared" ca="1" si="19"/>
        <v>0</v>
      </c>
      <c r="F49">
        <f t="shared" ca="1" si="20"/>
        <v>0</v>
      </c>
      <c r="G49">
        <f t="shared" ca="1" si="21"/>
        <v>2</v>
      </c>
      <c r="H49">
        <f t="shared" ca="1" si="41"/>
        <v>0</v>
      </c>
      <c r="I49">
        <f t="shared" ca="1" si="42"/>
        <v>0</v>
      </c>
      <c r="J49" s="395" t="s">
        <v>103</v>
      </c>
      <c r="K49" s="162" t="str">
        <f t="shared" ca="1" si="22"/>
        <v>4.2.</v>
      </c>
      <c r="L49" s="396" t="s">
        <v>237</v>
      </c>
      <c r="M49" s="396" t="s">
        <v>244</v>
      </c>
      <c r="N49" s="397" t="s">
        <v>299</v>
      </c>
      <c r="O49" s="398" t="s">
        <v>292</v>
      </c>
      <c r="P49" s="399">
        <f>P48*8*0.2</f>
        <v>1600</v>
      </c>
      <c r="Q49" s="228"/>
      <c r="R49" s="231" t="s">
        <v>7</v>
      </c>
      <c r="S49" s="121">
        <f t="shared" si="23"/>
        <v>0</v>
      </c>
      <c r="T49" s="98">
        <f t="shared" si="24"/>
        <v>0</v>
      </c>
      <c r="U49" s="13" t="str">
        <f t="shared" si="25"/>
        <v>SEM VALOR</v>
      </c>
      <c r="V49" s="4" t="str">
        <f ca="1">IF(OR($A49=0,$A49="S",$A49&gt;CFF!$A$9),"",MAX(V$12:OFFSET(V49,-1,0))+1)</f>
        <v/>
      </c>
      <c r="W49" s="9" t="str">
        <f t="shared" si="26"/>
        <v>SINAPI-96396</v>
      </c>
      <c r="X49" s="4">
        <f t="shared" ca="1" si="27"/>
        <v>6086</v>
      </c>
      <c r="Y49" s="121">
        <v>194.98</v>
      </c>
      <c r="Z49" s="132">
        <f ca="1">ROUND(IF(ISNUMBER(R49),R49,IF(LEFT(R49,3)="BDI",HLOOKUP(R49,DADOS!$T$37:$X$38,2,FALSE),0)),15-11*$X$5)</f>
        <v>0.23</v>
      </c>
      <c r="AA49" s="4"/>
    </row>
    <row r="50" spans="1:27" ht="26.4" x14ac:dyDescent="0.25">
      <c r="A50" t="str">
        <f t="shared" si="15"/>
        <v>S</v>
      </c>
      <c r="B50">
        <f t="shared" si="16"/>
        <v>0</v>
      </c>
      <c r="C50">
        <f t="shared" ca="1" si="17"/>
        <v>4</v>
      </c>
      <c r="D50">
        <f t="shared" ca="1" si="18"/>
        <v>0</v>
      </c>
      <c r="E50">
        <f t="shared" ca="1" si="19"/>
        <v>0</v>
      </c>
      <c r="F50">
        <f t="shared" ca="1" si="20"/>
        <v>0</v>
      </c>
      <c r="G50">
        <f t="shared" ca="1" si="21"/>
        <v>3</v>
      </c>
      <c r="H50">
        <f t="shared" ca="1" si="41"/>
        <v>0</v>
      </c>
      <c r="I50">
        <f t="shared" ca="1" si="42"/>
        <v>0</v>
      </c>
      <c r="J50" s="395" t="s">
        <v>103</v>
      </c>
      <c r="K50" s="162" t="str">
        <f t="shared" ca="1" si="22"/>
        <v>4.3.</v>
      </c>
      <c r="L50" s="396" t="s">
        <v>237</v>
      </c>
      <c r="M50" s="396" t="s">
        <v>263</v>
      </c>
      <c r="N50" s="397" t="s">
        <v>300</v>
      </c>
      <c r="O50" s="398" t="s">
        <v>301</v>
      </c>
      <c r="P50" s="399">
        <f>P49*25</f>
        <v>40000</v>
      </c>
      <c r="Q50" s="228"/>
      <c r="R50" s="231" t="s">
        <v>7</v>
      </c>
      <c r="S50" s="121">
        <f t="shared" si="23"/>
        <v>0</v>
      </c>
      <c r="T50" s="98">
        <f t="shared" si="24"/>
        <v>0</v>
      </c>
      <c r="U50" s="13" t="str">
        <f t="shared" si="25"/>
        <v>SEM VALOR</v>
      </c>
      <c r="V50" s="4" t="str">
        <f ca="1">IF(OR($A50=0,$A50="S",$A50&gt;CFF!$A$9),"",MAX(V$12:OFFSET(V50,-1,0))+1)</f>
        <v/>
      </c>
      <c r="W50" s="9" t="str">
        <f t="shared" si="26"/>
        <v>SINAPI-95875</v>
      </c>
      <c r="X50" s="4">
        <f t="shared" ca="1" si="27"/>
        <v>7199</v>
      </c>
      <c r="Y50" s="121">
        <v>3.17</v>
      </c>
      <c r="Z50" s="132">
        <f ca="1">ROUND(IF(ISNUMBER(R50),R50,IF(LEFT(R50,3)="BDI",HLOOKUP(R50,DADOS!$T$37:$X$38,2,FALSE),0)),15-11*$X$5)</f>
        <v>0.23</v>
      </c>
      <c r="AA50" s="4"/>
    </row>
    <row r="51" spans="1:27" x14ac:dyDescent="0.25">
      <c r="A51" t="str">
        <f t="shared" si="15"/>
        <v>S</v>
      </c>
      <c r="B51">
        <f t="shared" si="16"/>
        <v>0</v>
      </c>
      <c r="C51">
        <f t="shared" ca="1" si="17"/>
        <v>4</v>
      </c>
      <c r="D51">
        <f t="shared" ca="1" si="18"/>
        <v>0</v>
      </c>
      <c r="E51">
        <f t="shared" ca="1" si="19"/>
        <v>0</v>
      </c>
      <c r="F51">
        <f t="shared" ca="1" si="20"/>
        <v>0</v>
      </c>
      <c r="G51">
        <f t="shared" ca="1" si="21"/>
        <v>4</v>
      </c>
      <c r="H51">
        <f t="shared" ca="1" si="41"/>
        <v>0</v>
      </c>
      <c r="I51">
        <f t="shared" ca="1" si="42"/>
        <v>0</v>
      </c>
      <c r="J51" s="395" t="s">
        <v>103</v>
      </c>
      <c r="K51" s="162" t="str">
        <f t="shared" ca="1" si="22"/>
        <v>4.4.</v>
      </c>
      <c r="L51" s="396" t="s">
        <v>240</v>
      </c>
      <c r="M51" s="396" t="s">
        <v>258</v>
      </c>
      <c r="N51" s="397" t="s">
        <v>302</v>
      </c>
      <c r="O51" s="398" t="s">
        <v>286</v>
      </c>
      <c r="P51" s="399">
        <f>P48*7</f>
        <v>7000</v>
      </c>
      <c r="Q51" s="228"/>
      <c r="R51" s="231" t="s">
        <v>7</v>
      </c>
      <c r="S51" s="121">
        <f t="shared" si="23"/>
        <v>0</v>
      </c>
      <c r="T51" s="98">
        <f t="shared" si="24"/>
        <v>0</v>
      </c>
      <c r="U51" s="13" t="str">
        <f t="shared" si="25"/>
        <v>SEM VALOR</v>
      </c>
      <c r="V51" s="4" t="str">
        <f ca="1">IF(OR($A51=0,$A51="S",$A51&gt;CFF!$A$9),"",MAX(V$12:OFFSET(V51,-1,0))+1)</f>
        <v/>
      </c>
      <c r="W51" s="9" t="str">
        <f t="shared" si="26"/>
        <v>PM BENTO-10</v>
      </c>
      <c r="X51" s="4">
        <f t="shared" ca="1" si="27"/>
        <v>16</v>
      </c>
      <c r="Y51" s="121">
        <v>1.59</v>
      </c>
      <c r="Z51" s="132">
        <f ca="1">ROUND(IF(ISNUMBER(R51),R51,IF(LEFT(R51,3)="BDI",HLOOKUP(R51,DADOS!$T$37:$X$38,2,FALSE),0)),15-11*$X$5)</f>
        <v>0.23</v>
      </c>
      <c r="AA51" s="4"/>
    </row>
    <row r="52" spans="1:27" x14ac:dyDescent="0.25">
      <c r="A52" t="str">
        <f>CHOOSE(1+LOG(1+2*(J52="Meta")+4*(J52="Nível 2")+8*(J52="Nível 3")+16*(J52="Nível 4")+32*(J52="Serviço"),2),0,1,2,3,4,"S")</f>
        <v>S</v>
      </c>
      <c r="B52">
        <f>IF(OR(A52="S",A52=0),0,IF(ISERROR(I52),H52,SMALL(H52:I52,1)))</f>
        <v>0</v>
      </c>
      <c r="C52">
        <f ca="1">IF($A52=1,OFFSET(C52,-1,0)+1,OFFSET(C52,-1,0))</f>
        <v>4</v>
      </c>
      <c r="D52">
        <f ca="1">IF($A52=1,0,IF($A52=2,OFFSET(D52,-1,0)+1,OFFSET(D52,-1,0)))</f>
        <v>0</v>
      </c>
      <c r="E52">
        <f ca="1">IF(AND($A52&lt;=2,$A52&lt;&gt;0),0,IF($A52=3,OFFSET(E52,-1,0)+1,OFFSET(E52,-1,0)))</f>
        <v>0</v>
      </c>
      <c r="F52">
        <f ca="1">IF(AND($A52&lt;=3,$A52&lt;&gt;0),0,IF($A52=4,OFFSET(F52,-1,0)+1,OFFSET(F52,-1,0)))</f>
        <v>0</v>
      </c>
      <c r="G52">
        <f ca="1">IF(AND($A52&lt;=4,$A52&lt;&gt;0),0,IF($A52="S",OFFSET(G52,-1,0)+1,OFFSET(G52,-1,0)))</f>
        <v>5</v>
      </c>
      <c r="H52">
        <f t="shared" ca="1" si="41"/>
        <v>0</v>
      </c>
      <c r="I52">
        <f t="shared" ca="1" si="42"/>
        <v>0</v>
      </c>
      <c r="J52" s="395" t="s">
        <v>103</v>
      </c>
      <c r="K52" s="162" t="str">
        <f ca="1">IF($A52=0,"-",CONCATENATE(C52&amp;".",IF(AND($A$5&gt;=2,$A52&gt;=2),D52&amp;".",""),IF(AND($A$5&gt;=3,$A52&gt;=3),E52&amp;".",""),IF(AND($A$5&gt;=4,$A52&gt;=4),F52&amp;".",""),IF($A52="S",G52&amp;".","")))</f>
        <v>4.5.</v>
      </c>
      <c r="L52" s="396" t="s">
        <v>274</v>
      </c>
      <c r="M52" s="396" t="s">
        <v>264</v>
      </c>
      <c r="N52" s="397" t="s">
        <v>331</v>
      </c>
      <c r="O52" s="398" t="s">
        <v>303</v>
      </c>
      <c r="P52" s="399">
        <f>(P51*1)/1000</f>
        <v>7</v>
      </c>
      <c r="Q52" s="228"/>
      <c r="R52" s="231" t="s">
        <v>8</v>
      </c>
      <c r="S52" s="121">
        <f>IF($A52="S",IF($Q$10="Preço Unitário (R$)",PO.CustoUnitario,ROUND(PO.CustoUnitario*(1+$Z52),15-13*$X$6)),0)</f>
        <v>0</v>
      </c>
      <c r="T52" s="98">
        <f>IF($A52="S",VTOTAL1,IF($A52=0,0,ROUND(SomaAgrup,15-13*$X$7)))</f>
        <v>0</v>
      </c>
      <c r="U52" s="13" t="str">
        <f>IF($J52="","",IF($N52="","DESCRIÇÃO",IF(AND($J52="Serviço",$O52=""),"UNIDADE",IF($T52&lt;=0,"SEM VALOR",IF(AND($Y52&lt;&gt;"",$Q52&gt;$Y52),"ACIMA REF.","")))))</f>
        <v>SEM VALOR</v>
      </c>
      <c r="V52" s="4" t="str">
        <f ca="1">IF(OR($A52=0,$A52="S",$A52&gt;CFF!$A$9),"",MAX(V$12:OFFSET(V52,-1,0))+1)</f>
        <v/>
      </c>
      <c r="W52" s="9" t="str">
        <f>IF(AND($J52="Serviço",$M52&lt;&gt;""),IF($L52="",$M52,CONCATENATE($L52,"-",$M52)))</f>
        <v>COTAÇÃO-001</v>
      </c>
      <c r="X52" s="4">
        <f ca="1">IF(AND(Fonte&lt;&gt;"",Código&lt;&gt;""),MATCH(Fonte&amp;" "&amp;IF(Fonte="sinapi",SUBSTITUTE(SUBSTITUTE(Código,"/00","/"),"/0","/"),Código),INDIRECT("'[Referência "&amp;_xlnm.Database&amp;".xls]Banco'!$a:$a"),0),"X")</f>
        <v>21</v>
      </c>
      <c r="Y52" s="121">
        <v>7733.08</v>
      </c>
      <c r="Z52" s="132">
        <f ca="1">ROUND(IF(ISNUMBER(R52),R52,IF(LEFT(R52,3)="BDI",HLOOKUP(R52,DADOS!$T$37:$X$38,2,FALSE),0)),15-11*$X$5)</f>
        <v>0.15</v>
      </c>
      <c r="AA52" s="4"/>
    </row>
    <row r="53" spans="1:27" x14ac:dyDescent="0.25">
      <c r="A53" t="str">
        <f t="shared" si="15"/>
        <v>S</v>
      </c>
      <c r="B53">
        <f t="shared" si="16"/>
        <v>0</v>
      </c>
      <c r="C53">
        <f t="shared" ca="1" si="17"/>
        <v>4</v>
      </c>
      <c r="D53">
        <f t="shared" ca="1" si="18"/>
        <v>0</v>
      </c>
      <c r="E53">
        <f t="shared" ca="1" si="19"/>
        <v>0</v>
      </c>
      <c r="F53">
        <f t="shared" ca="1" si="20"/>
        <v>0</v>
      </c>
      <c r="G53">
        <f t="shared" ca="1" si="21"/>
        <v>6</v>
      </c>
      <c r="H53">
        <f t="shared" ca="1" si="41"/>
        <v>0</v>
      </c>
      <c r="I53">
        <f t="shared" ca="1" si="42"/>
        <v>0</v>
      </c>
      <c r="J53" s="395" t="s">
        <v>103</v>
      </c>
      <c r="K53" s="162" t="str">
        <f t="shared" ca="1" si="22"/>
        <v>4.6.</v>
      </c>
      <c r="L53" s="396" t="s">
        <v>240</v>
      </c>
      <c r="M53" s="396" t="s">
        <v>265</v>
      </c>
      <c r="N53" s="397" t="s">
        <v>304</v>
      </c>
      <c r="O53" s="398" t="s">
        <v>289</v>
      </c>
      <c r="P53" s="399">
        <f>P48*7</f>
        <v>7000</v>
      </c>
      <c r="Q53" s="228"/>
      <c r="R53" s="231" t="s">
        <v>7</v>
      </c>
      <c r="S53" s="121">
        <f t="shared" ref="S53:S70" si="43">IF($A53="S",IF($Q$10="Preço Unitário (R$)",PO.CustoUnitario,ROUND(PO.CustoUnitario*(1+$Z53),15-13*$X$6)),0)</f>
        <v>0</v>
      </c>
      <c r="T53" s="98">
        <f t="shared" ref="T53:T70" si="44">IF($A53="S",VTOTAL1,IF($A53=0,0,ROUND(SomaAgrup,15-13*$X$7)))</f>
        <v>0</v>
      </c>
      <c r="U53" s="13" t="str">
        <f t="shared" si="25"/>
        <v>SEM VALOR</v>
      </c>
      <c r="V53" s="4" t="str">
        <f ca="1">IF(OR($A53=0,$A53="S",$A53&gt;CFF!$A$9),"",MAX(V$12:OFFSET(V53,-1,0))+1)</f>
        <v/>
      </c>
      <c r="W53" s="9" t="str">
        <f t="shared" si="26"/>
        <v>PM BENTO-14</v>
      </c>
      <c r="X53" s="4">
        <f t="shared" ref="X53:X70" ca="1" si="45">IF(AND(Fonte&lt;&gt;"",Código&lt;&gt;""),MATCH(Fonte&amp;" "&amp;IF(Fonte="sinapi",SUBSTITUTE(SUBSTITUTE(Código,"/00","/"),"/0","/"),Código),INDIRECT("'[Referência "&amp;_xlnm.Database&amp;".xls]Banco'!$a:$a"),0),"X")</f>
        <v>18</v>
      </c>
      <c r="Y53" s="121">
        <v>1.32</v>
      </c>
      <c r="Z53" s="132">
        <f ca="1">ROUND(IF(ISNUMBER(R53),R53,IF(LEFT(R53,3)="BDI",HLOOKUP(R53,DADOS!$T$37:$X$38,2,FALSE),0)),15-11*$X$5)</f>
        <v>0.23</v>
      </c>
      <c r="AA53" s="4"/>
    </row>
    <row r="54" spans="1:27" x14ac:dyDescent="0.25">
      <c r="A54" t="str">
        <f t="shared" si="15"/>
        <v>S</v>
      </c>
      <c r="B54">
        <f t="shared" si="16"/>
        <v>0</v>
      </c>
      <c r="C54">
        <f t="shared" ca="1" si="17"/>
        <v>4</v>
      </c>
      <c r="D54">
        <f t="shared" ca="1" si="18"/>
        <v>0</v>
      </c>
      <c r="E54">
        <f t="shared" ca="1" si="19"/>
        <v>0</v>
      </c>
      <c r="F54">
        <f t="shared" ca="1" si="20"/>
        <v>0</v>
      </c>
      <c r="G54">
        <f t="shared" ca="1" si="21"/>
        <v>7</v>
      </c>
      <c r="H54">
        <f t="shared" ca="1" si="41"/>
        <v>0</v>
      </c>
      <c r="I54">
        <f t="shared" ca="1" si="42"/>
        <v>0</v>
      </c>
      <c r="J54" s="395" t="s">
        <v>103</v>
      </c>
      <c r="K54" s="162" t="str">
        <f t="shared" ca="1" si="22"/>
        <v>4.7.</v>
      </c>
      <c r="L54" s="396" t="s">
        <v>274</v>
      </c>
      <c r="M54" s="396" t="s">
        <v>266</v>
      </c>
      <c r="N54" s="397" t="s">
        <v>305</v>
      </c>
      <c r="O54" s="398" t="s">
        <v>303</v>
      </c>
      <c r="P54" s="399">
        <f>((P48*6)*0.45)/1000</f>
        <v>2.7</v>
      </c>
      <c r="Q54" s="228"/>
      <c r="R54" s="231" t="s">
        <v>8</v>
      </c>
      <c r="S54" s="121">
        <f t="shared" si="43"/>
        <v>0</v>
      </c>
      <c r="T54" s="98">
        <f t="shared" si="44"/>
        <v>0</v>
      </c>
      <c r="U54" s="13" t="str">
        <f t="shared" si="25"/>
        <v>SEM VALOR</v>
      </c>
      <c r="V54" s="4" t="str">
        <f ca="1">IF(OR($A54=0,$A54="S",$A54&gt;CFF!$A$9),"",MAX(V$12:OFFSET(V54,-1,0))+1)</f>
        <v/>
      </c>
      <c r="W54" s="9" t="str">
        <f t="shared" si="26"/>
        <v>COTAÇÃO-002</v>
      </c>
      <c r="X54" s="4">
        <f t="shared" ca="1" si="45"/>
        <v>22</v>
      </c>
      <c r="Y54" s="121">
        <v>4857.5</v>
      </c>
      <c r="Z54" s="132">
        <f ca="1">ROUND(IF(ISNUMBER(R54),R54,IF(LEFT(R54,3)="BDI",HLOOKUP(R54,DADOS!$T$37:$X$38,2,FALSE),0)),15-11*$X$5)</f>
        <v>0.15</v>
      </c>
      <c r="AA54" s="4"/>
    </row>
    <row r="55" spans="1:27" ht="26.4" x14ac:dyDescent="0.25">
      <c r="A55" t="str">
        <f t="shared" si="15"/>
        <v>S</v>
      </c>
      <c r="B55">
        <f t="shared" si="16"/>
        <v>0</v>
      </c>
      <c r="C55">
        <f t="shared" ca="1" si="17"/>
        <v>4</v>
      </c>
      <c r="D55">
        <f t="shared" ca="1" si="18"/>
        <v>0</v>
      </c>
      <c r="E55">
        <f t="shared" ca="1" si="19"/>
        <v>0</v>
      </c>
      <c r="F55">
        <f t="shared" ca="1" si="20"/>
        <v>0</v>
      </c>
      <c r="G55">
        <f t="shared" ca="1" si="21"/>
        <v>8</v>
      </c>
      <c r="H55">
        <f t="shared" ca="1" si="41"/>
        <v>0</v>
      </c>
      <c r="I55">
        <f t="shared" ca="1" si="42"/>
        <v>0</v>
      </c>
      <c r="J55" s="395" t="s">
        <v>103</v>
      </c>
      <c r="K55" s="162" t="str">
        <f t="shared" ca="1" si="22"/>
        <v>4.8.</v>
      </c>
      <c r="L55" s="396" t="s">
        <v>240</v>
      </c>
      <c r="M55" s="396" t="s">
        <v>267</v>
      </c>
      <c r="N55" s="397" t="s">
        <v>306</v>
      </c>
      <c r="O55" s="398" t="s">
        <v>292</v>
      </c>
      <c r="P55" s="399">
        <f>P48*6*0.05</f>
        <v>300</v>
      </c>
      <c r="Q55" s="228"/>
      <c r="R55" s="231" t="s">
        <v>7</v>
      </c>
      <c r="S55" s="121">
        <f t="shared" si="43"/>
        <v>0</v>
      </c>
      <c r="T55" s="98">
        <f t="shared" si="44"/>
        <v>0</v>
      </c>
      <c r="U55" s="13" t="str">
        <f t="shared" si="25"/>
        <v>SEM VALOR</v>
      </c>
      <c r="V55" s="4" t="str">
        <f ca="1">IF(OR($A55=0,$A55="S",$A55&gt;CFF!$A$9),"",MAX(V$12:OFFSET(V55,-1,0))+1)</f>
        <v/>
      </c>
      <c r="W55" s="9" t="str">
        <f t="shared" si="26"/>
        <v>PM BENTO-15</v>
      </c>
      <c r="X55" s="4">
        <f t="shared" ca="1" si="45"/>
        <v>19</v>
      </c>
      <c r="Y55" s="121">
        <v>682.37</v>
      </c>
      <c r="Z55" s="132">
        <f ca="1">ROUND(IF(ISNUMBER(R55),R55,IF(LEFT(R55,3)="BDI",HLOOKUP(R55,DADOS!$T$37:$X$38,2,FALSE),0)),15-11*$X$5)</f>
        <v>0.23</v>
      </c>
      <c r="AA55" s="4"/>
    </row>
    <row r="56" spans="1:27" x14ac:dyDescent="0.25">
      <c r="A56" t="str">
        <f t="shared" si="15"/>
        <v>S</v>
      </c>
      <c r="B56">
        <f t="shared" si="16"/>
        <v>0</v>
      </c>
      <c r="C56">
        <f t="shared" ca="1" si="17"/>
        <v>4</v>
      </c>
      <c r="D56">
        <f t="shared" ca="1" si="18"/>
        <v>0</v>
      </c>
      <c r="E56">
        <f t="shared" ca="1" si="19"/>
        <v>0</v>
      </c>
      <c r="F56">
        <f t="shared" ca="1" si="20"/>
        <v>0</v>
      </c>
      <c r="G56">
        <f t="shared" ca="1" si="21"/>
        <v>9</v>
      </c>
      <c r="H56">
        <f t="shared" ca="1" si="41"/>
        <v>0</v>
      </c>
      <c r="I56">
        <f t="shared" ca="1" si="42"/>
        <v>0</v>
      </c>
      <c r="J56" s="395" t="s">
        <v>103</v>
      </c>
      <c r="K56" s="162" t="str">
        <f t="shared" ca="1" si="22"/>
        <v>4.9.</v>
      </c>
      <c r="L56" s="396" t="s">
        <v>275</v>
      </c>
      <c r="M56" s="396" t="s">
        <v>268</v>
      </c>
      <c r="N56" s="397" t="s">
        <v>307</v>
      </c>
      <c r="O56" s="398" t="s">
        <v>308</v>
      </c>
      <c r="P56" s="399">
        <f>((P48*6*0.05)*2.3)*0.06</f>
        <v>41.4</v>
      </c>
      <c r="Q56" s="228"/>
      <c r="R56" s="231" t="s">
        <v>8</v>
      </c>
      <c r="S56" s="121">
        <f t="shared" si="43"/>
        <v>0</v>
      </c>
      <c r="T56" s="98">
        <f t="shared" si="44"/>
        <v>0</v>
      </c>
      <c r="U56" s="13" t="str">
        <f t="shared" si="25"/>
        <v>SEM VALOR</v>
      </c>
      <c r="V56" s="4" t="str">
        <f ca="1">IF(OR($A56=0,$A56="S",$A56&gt;CFF!$A$9),"",MAX(V$12:OFFSET(V56,-1,0))+1)</f>
        <v/>
      </c>
      <c r="W56" s="9" t="str">
        <f t="shared" si="26"/>
        <v>SINAPI-I-41899</v>
      </c>
      <c r="X56" s="4" t="e">
        <f t="shared" ca="1" si="45"/>
        <v>#N/A</v>
      </c>
      <c r="Y56" s="121">
        <v>6188.14</v>
      </c>
      <c r="Z56" s="132">
        <f ca="1">ROUND(IF(ISNUMBER(R56),R56,IF(LEFT(R56,3)="BDI",HLOOKUP(R56,DADOS!$T$37:$X$38,2,FALSE),0)),15-11*$X$5)</f>
        <v>0.15</v>
      </c>
      <c r="AA56" s="4"/>
    </row>
    <row r="57" spans="1:27" x14ac:dyDescent="0.25">
      <c r="A57" t="str">
        <f t="shared" si="15"/>
        <v>S</v>
      </c>
      <c r="B57">
        <f t="shared" si="16"/>
        <v>0</v>
      </c>
      <c r="C57">
        <f t="shared" ca="1" si="17"/>
        <v>4</v>
      </c>
      <c r="D57">
        <f t="shared" ca="1" si="18"/>
        <v>0</v>
      </c>
      <c r="E57">
        <f t="shared" ca="1" si="19"/>
        <v>0</v>
      </c>
      <c r="F57">
        <f t="shared" ca="1" si="20"/>
        <v>0</v>
      </c>
      <c r="G57">
        <f t="shared" ca="1" si="21"/>
        <v>10</v>
      </c>
      <c r="H57">
        <f t="shared" ca="1" si="41"/>
        <v>0</v>
      </c>
      <c r="I57">
        <f t="shared" ca="1" si="42"/>
        <v>0</v>
      </c>
      <c r="J57" s="395" t="s">
        <v>103</v>
      </c>
      <c r="K57" s="162" t="str">
        <f t="shared" ca="1" si="22"/>
        <v>4.10.</v>
      </c>
      <c r="L57" s="396" t="s">
        <v>240</v>
      </c>
      <c r="M57" s="396" t="s">
        <v>269</v>
      </c>
      <c r="N57" s="397" t="s">
        <v>309</v>
      </c>
      <c r="O57" s="398" t="s">
        <v>289</v>
      </c>
      <c r="P57" s="399">
        <f>(P48*0.5)*2</f>
        <v>1000</v>
      </c>
      <c r="Q57" s="228"/>
      <c r="R57" s="231" t="s">
        <v>7</v>
      </c>
      <c r="S57" s="121">
        <f t="shared" si="43"/>
        <v>0</v>
      </c>
      <c r="T57" s="98">
        <f t="shared" si="44"/>
        <v>0</v>
      </c>
      <c r="U57" s="13" t="str">
        <f t="shared" si="25"/>
        <v>SEM VALOR</v>
      </c>
      <c r="V57" s="4" t="str">
        <f ca="1">IF(OR($A57=0,$A57="S",$A57&gt;CFF!$A$9),"",MAX(V$12:OFFSET(V57,-1,0))+1)</f>
        <v/>
      </c>
      <c r="W57" s="9" t="str">
        <f t="shared" si="26"/>
        <v>PM BENTO-16</v>
      </c>
      <c r="X57" s="4">
        <f t="shared" ca="1" si="45"/>
        <v>20</v>
      </c>
      <c r="Y57" s="121">
        <v>2.12</v>
      </c>
      <c r="Z57" s="132">
        <f ca="1">ROUND(IF(ISNUMBER(R57),R57,IF(LEFT(R57,3)="BDI",HLOOKUP(R57,DADOS!$T$37:$X$38,2,FALSE),0)),15-11*$X$5)</f>
        <v>0.23</v>
      </c>
      <c r="AA57" s="4"/>
    </row>
    <row r="58" spans="1:27" x14ac:dyDescent="0.25">
      <c r="A58" t="str">
        <f t="shared" si="15"/>
        <v>S</v>
      </c>
      <c r="B58">
        <f t="shared" si="16"/>
        <v>0</v>
      </c>
      <c r="C58">
        <f t="shared" ca="1" si="17"/>
        <v>4</v>
      </c>
      <c r="D58">
        <f t="shared" ca="1" si="18"/>
        <v>0</v>
      </c>
      <c r="E58">
        <f t="shared" ca="1" si="19"/>
        <v>0</v>
      </c>
      <c r="F58">
        <f t="shared" ca="1" si="20"/>
        <v>0</v>
      </c>
      <c r="G58">
        <f t="shared" ca="1" si="21"/>
        <v>11</v>
      </c>
      <c r="H58">
        <f t="shared" ca="1" si="41"/>
        <v>0</v>
      </c>
      <c r="I58">
        <f t="shared" ca="1" si="42"/>
        <v>0</v>
      </c>
      <c r="J58" s="395" t="s">
        <v>103</v>
      </c>
      <c r="K58" s="162" t="str">
        <f t="shared" ca="1" si="22"/>
        <v>4.11.</v>
      </c>
      <c r="L58" s="396" t="s">
        <v>274</v>
      </c>
      <c r="M58" s="396" t="s">
        <v>266</v>
      </c>
      <c r="N58" s="397" t="s">
        <v>305</v>
      </c>
      <c r="O58" s="398" t="s">
        <v>303</v>
      </c>
      <c r="P58" s="399">
        <f>((P57)*0.45)/1000</f>
        <v>0.45</v>
      </c>
      <c r="Q58" s="228"/>
      <c r="R58" s="231" t="s">
        <v>8</v>
      </c>
      <c r="S58" s="121">
        <f t="shared" si="43"/>
        <v>0</v>
      </c>
      <c r="T58" s="98">
        <f t="shared" si="44"/>
        <v>0</v>
      </c>
      <c r="U58" s="13" t="str">
        <f t="shared" si="25"/>
        <v>SEM VALOR</v>
      </c>
      <c r="V58" s="4" t="str">
        <f ca="1">IF(OR($A58=0,$A58="S",$A58&gt;CFF!$A$9),"",MAX(V$12:OFFSET(V58,-1,0))+1)</f>
        <v/>
      </c>
      <c r="W58" s="9" t="str">
        <f t="shared" si="26"/>
        <v>COTAÇÃO-002</v>
      </c>
      <c r="X58" s="4">
        <f t="shared" ca="1" si="45"/>
        <v>22</v>
      </c>
      <c r="Y58" s="121">
        <v>4857.5</v>
      </c>
      <c r="Z58" s="132">
        <f ca="1">ROUND(IF(ISNUMBER(R58),R58,IF(LEFT(R58,3)="BDI",HLOOKUP(R58,DADOS!$T$37:$X$38,2,FALSE),0)),15-11*$X$5)</f>
        <v>0.15</v>
      </c>
      <c r="AA58" s="4"/>
    </row>
    <row r="59" spans="1:27" ht="26.4" x14ac:dyDescent="0.25">
      <c r="A59" t="str">
        <f t="shared" si="15"/>
        <v>S</v>
      </c>
      <c r="B59">
        <f t="shared" si="16"/>
        <v>0</v>
      </c>
      <c r="C59">
        <f t="shared" ca="1" si="17"/>
        <v>4</v>
      </c>
      <c r="D59">
        <f t="shared" ca="1" si="18"/>
        <v>0</v>
      </c>
      <c r="E59">
        <f t="shared" ca="1" si="19"/>
        <v>0</v>
      </c>
      <c r="F59">
        <f t="shared" ca="1" si="20"/>
        <v>0</v>
      </c>
      <c r="G59">
        <f t="shared" ca="1" si="21"/>
        <v>12</v>
      </c>
      <c r="H59">
        <f t="shared" ca="1" si="41"/>
        <v>0</v>
      </c>
      <c r="I59">
        <f t="shared" ca="1" si="42"/>
        <v>0</v>
      </c>
      <c r="J59" s="395" t="s">
        <v>103</v>
      </c>
      <c r="K59" s="162" t="str">
        <f t="shared" ca="1" si="22"/>
        <v>4.12.</v>
      </c>
      <c r="L59" s="396" t="s">
        <v>237</v>
      </c>
      <c r="M59" s="396" t="s">
        <v>263</v>
      </c>
      <c r="N59" s="397" t="s">
        <v>300</v>
      </c>
      <c r="O59" s="398" t="s">
        <v>301</v>
      </c>
      <c r="P59" s="399">
        <f>(P55*25)</f>
        <v>7500</v>
      </c>
      <c r="Q59" s="228"/>
      <c r="R59" s="231" t="s">
        <v>7</v>
      </c>
      <c r="S59" s="121">
        <f t="shared" si="43"/>
        <v>0</v>
      </c>
      <c r="T59" s="98">
        <f t="shared" si="44"/>
        <v>0</v>
      </c>
      <c r="U59" s="13" t="str">
        <f t="shared" si="25"/>
        <v>SEM VALOR</v>
      </c>
      <c r="V59" s="4" t="str">
        <f ca="1">IF(OR($A59=0,$A59="S",$A59&gt;CFF!$A$9),"",MAX(V$12:OFFSET(V59,-1,0))+1)</f>
        <v/>
      </c>
      <c r="W59" s="9" t="str">
        <f t="shared" si="26"/>
        <v>SINAPI-95875</v>
      </c>
      <c r="X59" s="4">
        <f t="shared" ca="1" si="45"/>
        <v>7199</v>
      </c>
      <c r="Y59" s="121">
        <v>3.17</v>
      </c>
      <c r="Z59" s="132">
        <f ca="1">ROUND(IF(ISNUMBER(R59),R59,IF(LEFT(R59,3)="BDI",HLOOKUP(R59,DADOS!$T$37:$X$38,2,FALSE),0)),15-11*$X$5)</f>
        <v>0.23</v>
      </c>
      <c r="AA59" s="4"/>
    </row>
    <row r="60" spans="1:27" x14ac:dyDescent="0.25">
      <c r="A60">
        <f t="shared" si="15"/>
        <v>1</v>
      </c>
      <c r="B60">
        <f t="shared" ca="1" si="16"/>
        <v>6</v>
      </c>
      <c r="C60">
        <f t="shared" ca="1" si="17"/>
        <v>5</v>
      </c>
      <c r="D60">
        <f t="shared" ca="1" si="18"/>
        <v>0</v>
      </c>
      <c r="E60">
        <f t="shared" ca="1" si="19"/>
        <v>0</v>
      </c>
      <c r="F60">
        <f t="shared" ca="1" si="20"/>
        <v>0</v>
      </c>
      <c r="G60">
        <f t="shared" ca="1" si="21"/>
        <v>0</v>
      </c>
      <c r="H60">
        <f t="shared" ca="1" si="41"/>
        <v>11</v>
      </c>
      <c r="I60">
        <f t="shared" ca="1" si="42"/>
        <v>6</v>
      </c>
      <c r="J60" s="395" t="s">
        <v>99</v>
      </c>
      <c r="K60" s="162" t="str">
        <f t="shared" ca="1" si="22"/>
        <v>5.</v>
      </c>
      <c r="L60" s="396"/>
      <c r="M60" s="396"/>
      <c r="N60" s="397" t="s">
        <v>245</v>
      </c>
      <c r="O60" s="398" t="s">
        <v>106</v>
      </c>
      <c r="P60" s="399"/>
      <c r="Q60" s="228"/>
      <c r="R60" s="231" t="s">
        <v>7</v>
      </c>
      <c r="S60" s="121">
        <f t="shared" si="43"/>
        <v>0</v>
      </c>
      <c r="T60" s="98">
        <f t="shared" ca="1" si="44"/>
        <v>0</v>
      </c>
      <c r="U60" s="13" t="str">
        <f t="shared" ca="1" si="25"/>
        <v>SEM VALOR</v>
      </c>
      <c r="V60" s="4">
        <f ca="1">IF(OR($A60=0,$A60="S",$A60&gt;CFF!$A$9),"",MAX(V$12:OFFSET(V60,-1,0))+1)</f>
        <v>5</v>
      </c>
      <c r="W60" s="9" t="b">
        <f t="shared" si="26"/>
        <v>0</v>
      </c>
      <c r="X60" s="4" t="str">
        <f t="shared" ca="1" si="45"/>
        <v>X</v>
      </c>
      <c r="Y60" s="121">
        <v>0</v>
      </c>
      <c r="Z60" s="132">
        <f ca="1">ROUND(IF(ISNUMBER(R60),R60,IF(LEFT(R60,3)="BDI",HLOOKUP(R60,DADOS!$T$37:$X$38,2,FALSE),0)),15-11*$X$5)</f>
        <v>0.23</v>
      </c>
      <c r="AA60" s="4"/>
    </row>
    <row r="61" spans="1:27" ht="26.4" x14ac:dyDescent="0.25">
      <c r="A61" t="str">
        <f t="shared" si="15"/>
        <v>S</v>
      </c>
      <c r="B61">
        <f t="shared" si="16"/>
        <v>0</v>
      </c>
      <c r="C61">
        <f t="shared" ca="1" si="17"/>
        <v>5</v>
      </c>
      <c r="D61">
        <f t="shared" ca="1" si="18"/>
        <v>0</v>
      </c>
      <c r="E61">
        <f t="shared" ca="1" si="19"/>
        <v>0</v>
      </c>
      <c r="F61">
        <f t="shared" ca="1" si="20"/>
        <v>0</v>
      </c>
      <c r="G61">
        <f t="shared" ca="1" si="21"/>
        <v>1</v>
      </c>
      <c r="H61">
        <f t="shared" ca="1" si="41"/>
        <v>0</v>
      </c>
      <c r="I61">
        <f t="shared" ca="1" si="42"/>
        <v>0</v>
      </c>
      <c r="J61" s="395" t="s">
        <v>103</v>
      </c>
      <c r="K61" s="162" t="str">
        <f t="shared" ca="1" si="22"/>
        <v>5.1.</v>
      </c>
      <c r="L61" s="396" t="s">
        <v>240</v>
      </c>
      <c r="M61" s="396" t="s">
        <v>256</v>
      </c>
      <c r="N61" s="397" t="s">
        <v>310</v>
      </c>
      <c r="O61" s="398" t="s">
        <v>251</v>
      </c>
      <c r="P61" s="399">
        <v>9</v>
      </c>
      <c r="Q61" s="228"/>
      <c r="R61" s="231" t="s">
        <v>7</v>
      </c>
      <c r="S61" s="121">
        <f t="shared" si="43"/>
        <v>0</v>
      </c>
      <c r="T61" s="98">
        <f t="shared" si="44"/>
        <v>0</v>
      </c>
      <c r="U61" s="13" t="str">
        <f t="shared" si="25"/>
        <v>SEM VALOR</v>
      </c>
      <c r="V61" s="4" t="str">
        <f ca="1">IF(OR($A61=0,$A61="S",$A61&gt;CFF!$A$9),"",MAX(V$12:OFFSET(V61,-1,0))+1)</f>
        <v/>
      </c>
      <c r="W61" s="9" t="str">
        <f t="shared" si="26"/>
        <v>PM BENTO-09</v>
      </c>
      <c r="X61" s="4">
        <f t="shared" ca="1" si="45"/>
        <v>15</v>
      </c>
      <c r="Y61" s="121">
        <v>784.83</v>
      </c>
      <c r="Z61" s="132">
        <f ca="1">ROUND(IF(ISNUMBER(R61),R61,IF(LEFT(R61,3)="BDI",HLOOKUP(R61,DADOS!$T$37:$X$38,2,FALSE),0)),15-11*$X$5)</f>
        <v>0.23</v>
      </c>
      <c r="AA61" s="4"/>
    </row>
    <row r="62" spans="1:27" ht="26.4" x14ac:dyDescent="0.25">
      <c r="A62" t="str">
        <f t="shared" si="15"/>
        <v>S</v>
      </c>
      <c r="B62">
        <f t="shared" si="16"/>
        <v>0</v>
      </c>
      <c r="C62">
        <f t="shared" ca="1" si="17"/>
        <v>5</v>
      </c>
      <c r="D62">
        <f t="shared" ca="1" si="18"/>
        <v>0</v>
      </c>
      <c r="E62">
        <f t="shared" ca="1" si="19"/>
        <v>0</v>
      </c>
      <c r="F62">
        <f t="shared" ca="1" si="20"/>
        <v>0</v>
      </c>
      <c r="G62">
        <f t="shared" ca="1" si="21"/>
        <v>2</v>
      </c>
      <c r="H62">
        <f t="shared" ca="1" si="41"/>
        <v>0</v>
      </c>
      <c r="I62">
        <f t="shared" ca="1" si="42"/>
        <v>0</v>
      </c>
      <c r="J62" s="395" t="s">
        <v>103</v>
      </c>
      <c r="K62" s="162" t="str">
        <f t="shared" ca="1" si="22"/>
        <v>5.2.</v>
      </c>
      <c r="L62" s="396" t="s">
        <v>237</v>
      </c>
      <c r="M62" s="396" t="s">
        <v>254</v>
      </c>
      <c r="N62" s="397" t="s">
        <v>311</v>
      </c>
      <c r="O62" s="398" t="s">
        <v>241</v>
      </c>
      <c r="P62" s="399">
        <v>3660</v>
      </c>
      <c r="Q62" s="228"/>
      <c r="R62" s="231" t="s">
        <v>7</v>
      </c>
      <c r="S62" s="121">
        <f t="shared" si="43"/>
        <v>0</v>
      </c>
      <c r="T62" s="98">
        <f t="shared" si="44"/>
        <v>0</v>
      </c>
      <c r="U62" s="13" t="str">
        <f t="shared" si="25"/>
        <v>SEM VALOR</v>
      </c>
      <c r="V62" s="4" t="str">
        <f ca="1">IF(OR($A62=0,$A62="S",$A62&gt;CFF!$A$9),"",MAX(V$12:OFFSET(V62,-1,0))+1)</f>
        <v/>
      </c>
      <c r="W62" s="9" t="str">
        <f t="shared" si="26"/>
        <v>SINAPI-102512</v>
      </c>
      <c r="X62" s="4">
        <f t="shared" ca="1" si="45"/>
        <v>6404</v>
      </c>
      <c r="Y62" s="121">
        <v>7.72</v>
      </c>
      <c r="Z62" s="132">
        <f ca="1">ROUND(IF(ISNUMBER(R62),R62,IF(LEFT(R62,3)="BDI",HLOOKUP(R62,DADOS!$T$37:$X$38,2,FALSE),0)),15-11*$X$5)</f>
        <v>0.23</v>
      </c>
      <c r="AA62" s="4"/>
    </row>
    <row r="63" spans="1:27" x14ac:dyDescent="0.25">
      <c r="A63" t="str">
        <f>CHOOSE(1+LOG(1+2*(J63="Meta")+4*(J63="Nível 2")+8*(J63="Nível 3")+16*(J63="Nível 4")+32*(J63="Serviço"),2),0,1,2,3,4,"S")</f>
        <v>S</v>
      </c>
      <c r="B63">
        <f>IF(OR(A63="S",A63=0),0,IF(ISERROR(I63),H63,SMALL(H63:I63,1)))</f>
        <v>0</v>
      </c>
      <c r="C63">
        <f ca="1">IF($A63=1,OFFSET(C63,-1,0)+1,OFFSET(C63,-1,0))</f>
        <v>5</v>
      </c>
      <c r="D63">
        <f ca="1">IF($A63=1,0,IF($A63=2,OFFSET(D63,-1,0)+1,OFFSET(D63,-1,0)))</f>
        <v>0</v>
      </c>
      <c r="E63">
        <f ca="1">IF(AND($A63&lt;=2,$A63&lt;&gt;0),0,IF($A63=3,OFFSET(E63,-1,0)+1,OFFSET(E63,-1,0)))</f>
        <v>0</v>
      </c>
      <c r="F63">
        <f ca="1">IF(AND($A63&lt;=3,$A63&lt;&gt;0),0,IF($A63=4,OFFSET(F63,-1,0)+1,OFFSET(F63,-1,0)))</f>
        <v>0</v>
      </c>
      <c r="G63">
        <f ca="1">IF(AND($A63&lt;=4,$A63&lt;&gt;0),0,IF($A63="S",OFFSET(G63,-1,0)+1,OFFSET(G63,-1,0)))</f>
        <v>3</v>
      </c>
      <c r="H63">
        <f t="shared" ca="1" si="41"/>
        <v>0</v>
      </c>
      <c r="I63">
        <f t="shared" ca="1" si="42"/>
        <v>0</v>
      </c>
      <c r="J63" s="395" t="s">
        <v>103</v>
      </c>
      <c r="K63" s="162" t="str">
        <f ca="1">IF($A63=0,"-",CONCATENATE(C63&amp;".",IF(AND($A$5&gt;=2,$A63&gt;=2),D63&amp;".",""),IF(AND($A$5&gt;=3,$A63&gt;=3),E63&amp;".",""),IF(AND($A$5&gt;=4,$A63&gt;=4),F63&amp;".",""),IF($A63="S",G63&amp;".","")))</f>
        <v>5.3.</v>
      </c>
      <c r="L63" s="396" t="s">
        <v>238</v>
      </c>
      <c r="M63" s="396" t="s">
        <v>271</v>
      </c>
      <c r="N63" s="397" t="s">
        <v>326</v>
      </c>
      <c r="O63" s="398" t="s">
        <v>251</v>
      </c>
      <c r="P63" s="399">
        <v>250</v>
      </c>
      <c r="Q63" s="228"/>
      <c r="R63" s="231" t="s">
        <v>7</v>
      </c>
      <c r="S63" s="121">
        <f>IF($A63="S",IF($Q$10="Preço Unitário (R$)",PO.CustoUnitario,ROUND(PO.CustoUnitario*(1+$Z63),15-13*$X$6)),0)</f>
        <v>0</v>
      </c>
      <c r="T63" s="98">
        <f>IF($A63="S",VTOTAL1,IF($A63=0,0,ROUND(SomaAgrup,15-13*$X$7)))</f>
        <v>0</v>
      </c>
      <c r="U63" s="13" t="str">
        <f>IF($J63="","",IF($N63="","DESCRIÇÃO",IF(AND($J63="Serviço",$O63=""),"UNIDADE",IF($T63&lt;=0,"SEM VALOR",IF(AND($Y63&lt;&gt;"",$Q63&gt;$Y63),"ACIMA REF.","")))))</f>
        <v>SEM VALOR</v>
      </c>
      <c r="V63" s="4" t="str">
        <f ca="1">IF(OR($A63=0,$A63="S",$A63&gt;CFF!$A$9),"",MAX(V$12:OFFSET(V63,-1,0))+1)</f>
        <v/>
      </c>
      <c r="W63" s="9" t="str">
        <f>IF(AND($J63="Serviço",$M63&lt;&gt;""),IF($L63="",$M63,CONCATENATE($L63,"-",$M63)))</f>
        <v>SICRO-5219621</v>
      </c>
      <c r="X63" s="4" t="e">
        <f ca="1">IF(AND(Fonte&lt;&gt;"",Código&lt;&gt;""),MATCH(Fonte&amp;" "&amp;IF(Fonte="sinapi",SUBSTITUTE(SUBSTITUTE(Código,"/00","/"),"/0","/"),Código),INDIRECT("'[Referência "&amp;_xlnm.Database&amp;".xls]Banco'!$a:$a"),0),"X")</f>
        <v>#N/A</v>
      </c>
      <c r="Y63" s="121">
        <v>53.22</v>
      </c>
      <c r="Z63" s="132">
        <f ca="1">ROUND(IF(ISNUMBER(R63),R63,IF(LEFT(R63,3)="BDI",HLOOKUP(R63,DADOS!$T$37:$X$38,2,FALSE),0)),15-11*$X$5)</f>
        <v>0.23</v>
      </c>
      <c r="AA63" s="4"/>
    </row>
    <row r="64" spans="1:27" x14ac:dyDescent="0.25">
      <c r="A64" t="str">
        <f>CHOOSE(1+LOG(1+2*(J64="Meta")+4*(J64="Nível 2")+8*(J64="Nível 3")+16*(J64="Nível 4")+32*(J64="Serviço"),2),0,1,2,3,4,"S")</f>
        <v>S</v>
      </c>
      <c r="B64">
        <f>IF(OR(A64="S",A64=0),0,IF(ISERROR(I64),H64,SMALL(H64:I64,1)))</f>
        <v>0</v>
      </c>
      <c r="C64">
        <f ca="1">IF($A64=1,OFFSET(C64,-1,0)+1,OFFSET(C64,-1,0))</f>
        <v>5</v>
      </c>
      <c r="D64">
        <f ca="1">IF($A64=1,0,IF($A64=2,OFFSET(D64,-1,0)+1,OFFSET(D64,-1,0)))</f>
        <v>0</v>
      </c>
      <c r="E64">
        <f ca="1">IF(AND($A64&lt;=2,$A64&lt;&gt;0),0,IF($A64=3,OFFSET(E64,-1,0)+1,OFFSET(E64,-1,0)))</f>
        <v>0</v>
      </c>
      <c r="F64">
        <f ca="1">IF(AND($A64&lt;=3,$A64&lt;&gt;0),0,IF($A64=4,OFFSET(F64,-1,0)+1,OFFSET(F64,-1,0)))</f>
        <v>0</v>
      </c>
      <c r="G64">
        <f ca="1">IF(AND($A64&lt;=4,$A64&lt;&gt;0),0,IF($A64="S",OFFSET(G64,-1,0)+1,OFFSET(G64,-1,0)))</f>
        <v>4</v>
      </c>
      <c r="H64">
        <f t="shared" ca="1" si="41"/>
        <v>0</v>
      </c>
      <c r="I64">
        <f t="shared" ca="1" si="42"/>
        <v>0</v>
      </c>
      <c r="J64" s="395" t="s">
        <v>103</v>
      </c>
      <c r="K64" s="162" t="str">
        <f ca="1">IF($A64=0,"-",CONCATENATE(C64&amp;".",IF(AND($A$5&gt;=2,$A64&gt;=2),D64&amp;".",""),IF(AND($A$5&gt;=3,$A64&gt;=3),E64&amp;".",""),IF(AND($A$5&gt;=4,$A64&gt;=4),F64&amp;".",""),IF($A64="S",G64&amp;".","")))</f>
        <v>5.4.</v>
      </c>
      <c r="L64" s="396" t="s">
        <v>238</v>
      </c>
      <c r="M64" s="396" t="s">
        <v>272</v>
      </c>
      <c r="N64" s="397" t="s">
        <v>327</v>
      </c>
      <c r="O64" s="398" t="s">
        <v>241</v>
      </c>
      <c r="P64" s="399">
        <v>30</v>
      </c>
      <c r="Q64" s="228"/>
      <c r="R64" s="231" t="s">
        <v>7</v>
      </c>
      <c r="S64" s="121">
        <f>IF($A64="S",IF($Q$10="Preço Unitário (R$)",PO.CustoUnitario,ROUND(PO.CustoUnitario*(1+$Z64),15-13*$X$6)),0)</f>
        <v>0</v>
      </c>
      <c r="T64" s="98">
        <f>IF($A64="S",VTOTAL1,IF($A64=0,0,ROUND(SomaAgrup,15-13*$X$7)))</f>
        <v>0</v>
      </c>
      <c r="U64" s="13" t="str">
        <f>IF($J64="","",IF($N64="","DESCRIÇÃO",IF(AND($J64="Serviço",$O64=""),"UNIDADE",IF($T64&lt;=0,"SEM VALOR",IF(AND($Y64&lt;&gt;"",$Q64&gt;$Y64),"ACIMA REF.","")))))</f>
        <v>SEM VALOR</v>
      </c>
      <c r="V64" s="4" t="str">
        <f ca="1">IF(OR($A64=0,$A64="S",$A64&gt;CFF!$A$9),"",MAX(V$12:OFFSET(V64,-1,0))+1)</f>
        <v/>
      </c>
      <c r="W64" s="9" t="str">
        <f>IF(AND($J64="Serviço",$M64&lt;&gt;""),IF($L64="",$M64,CONCATENATE($L64,"-",$M64)))</f>
        <v>SICRO-3713603</v>
      </c>
      <c r="X64" s="4" t="e">
        <f ca="1">IF(AND(Fonte&lt;&gt;"",Código&lt;&gt;""),MATCH(Fonte&amp;" "&amp;IF(Fonte="sinapi",SUBSTITUTE(SUBSTITUTE(Código,"/00","/"),"/0","/"),Código),INDIRECT("'[Referência "&amp;_xlnm.Database&amp;".xls]Banco'!$a:$a"),0),"X")</f>
        <v>#N/A</v>
      </c>
      <c r="Y64" s="121">
        <v>1116.45</v>
      </c>
      <c r="Z64" s="132">
        <f ca="1">ROUND(IF(ISNUMBER(R64),R64,IF(LEFT(R64,3)="BDI",HLOOKUP(R64,DADOS!$T$37:$X$38,2,FALSE),0)),15-11*$X$5)</f>
        <v>0.23</v>
      </c>
      <c r="AA64" s="4"/>
    </row>
    <row r="65" spans="1:27" x14ac:dyDescent="0.25">
      <c r="A65" t="str">
        <f>CHOOSE(1+LOG(1+2*(J65="Meta")+4*(J65="Nível 2")+8*(J65="Nível 3")+16*(J65="Nível 4")+32*(J65="Serviço"),2),0,1,2,3,4,"S")</f>
        <v>S</v>
      </c>
      <c r="B65">
        <f>IF(OR(A65="S",A65=0),0,IF(ISERROR(I65),H65,SMALL(H65:I65,1)))</f>
        <v>0</v>
      </c>
      <c r="C65">
        <f ca="1">IF($A65=1,OFFSET(C65,-1,0)+1,OFFSET(C65,-1,0))</f>
        <v>5</v>
      </c>
      <c r="D65">
        <f ca="1">IF($A65=1,0,IF($A65=2,OFFSET(D65,-1,0)+1,OFFSET(D65,-1,0)))</f>
        <v>0</v>
      </c>
      <c r="E65">
        <f ca="1">IF(AND($A65&lt;=2,$A65&lt;&gt;0),0,IF($A65=3,OFFSET(E65,-1,0)+1,OFFSET(E65,-1,0)))</f>
        <v>0</v>
      </c>
      <c r="F65">
        <f ca="1">IF(AND($A65&lt;=3,$A65&lt;&gt;0),0,IF($A65=4,OFFSET(F65,-1,0)+1,OFFSET(F65,-1,0)))</f>
        <v>0</v>
      </c>
      <c r="G65">
        <f ca="1">IF(AND($A65&lt;=4,$A65&lt;&gt;0),0,IF($A65="S",OFFSET(G65,-1,0)+1,OFFSET(G65,-1,0)))</f>
        <v>5</v>
      </c>
      <c r="H65">
        <f t="shared" ca="1" si="41"/>
        <v>0</v>
      </c>
      <c r="I65">
        <f t="shared" ca="1" si="42"/>
        <v>0</v>
      </c>
      <c r="J65" s="395" t="s">
        <v>103</v>
      </c>
      <c r="K65" s="162" t="str">
        <f ca="1">IF($A65=0,"-",CONCATENATE(C65&amp;".",IF(AND($A$5&gt;=2,$A65&gt;=2),D65&amp;".",""),IF(AND($A$5&gt;=3,$A65&gt;=3),E65&amp;".",""),IF(AND($A$5&gt;=4,$A65&gt;=4),F65&amp;".",""),IF($A65="S",G65&amp;".","")))</f>
        <v>5.5.</v>
      </c>
      <c r="L65" s="396" t="s">
        <v>238</v>
      </c>
      <c r="M65" s="396" t="s">
        <v>273</v>
      </c>
      <c r="N65" s="397" t="s">
        <v>328</v>
      </c>
      <c r="O65" s="398" t="s">
        <v>241</v>
      </c>
      <c r="P65" s="399">
        <v>120</v>
      </c>
      <c r="Q65" s="228"/>
      <c r="R65" s="231" t="s">
        <v>7</v>
      </c>
      <c r="S65" s="121">
        <f>IF($A65="S",IF($Q$10="Preço Unitário (R$)",PO.CustoUnitario,ROUND(PO.CustoUnitario*(1+$Z65),15-13*$X$6)),0)</f>
        <v>0</v>
      </c>
      <c r="T65" s="98">
        <f>IF($A65="S",VTOTAL1,IF($A65=0,0,ROUND(SomaAgrup,15-13*$X$7)))</f>
        <v>0</v>
      </c>
      <c r="U65" s="13" t="str">
        <f>IF($J65="","",IF($N65="","DESCRIÇÃO",IF(AND($J65="Serviço",$O65=""),"UNIDADE",IF($T65&lt;=0,"SEM VALOR",IF(AND($Y65&lt;&gt;"",$Q65&gt;$Y65),"ACIMA REF.","")))))</f>
        <v>SEM VALOR</v>
      </c>
      <c r="V65" s="4" t="str">
        <f ca="1">IF(OR($A65=0,$A65="S",$A65&gt;CFF!$A$9),"",MAX(V$12:OFFSET(V65,-1,0))+1)</f>
        <v/>
      </c>
      <c r="W65" s="9" t="str">
        <f>IF(AND($J65="Serviço",$M65&lt;&gt;""),IF($L65="",$M65,CONCATENATE($L65,"-",$M65)))</f>
        <v>SICRO-3713602</v>
      </c>
      <c r="X65" s="4" t="e">
        <f ca="1">IF(AND(Fonte&lt;&gt;"",Código&lt;&gt;""),MATCH(Fonte&amp;" "&amp;IF(Fonte="sinapi",SUBSTITUTE(SUBSTITUTE(Código,"/00","/"),"/0","/"),Código),INDIRECT("'[Referência "&amp;_xlnm.Database&amp;".xls]Banco'!$a:$a"),0),"X")</f>
        <v>#N/A</v>
      </c>
      <c r="Y65" s="121">
        <v>1032.06</v>
      </c>
      <c r="Z65" s="132">
        <f ca="1">ROUND(IF(ISNUMBER(R65),R65,IF(LEFT(R65,3)="BDI",HLOOKUP(R65,DADOS!$T$37:$X$38,2,FALSE),0)),15-11*$X$5)</f>
        <v>0.23</v>
      </c>
      <c r="AA65" s="4"/>
    </row>
    <row r="66" spans="1:27" x14ac:dyDescent="0.25">
      <c r="A66">
        <f t="shared" si="15"/>
        <v>1</v>
      </c>
      <c r="B66">
        <f t="shared" ca="1" si="16"/>
        <v>5</v>
      </c>
      <c r="C66">
        <f t="shared" ca="1" si="17"/>
        <v>6</v>
      </c>
      <c r="D66">
        <f t="shared" ca="1" si="18"/>
        <v>0</v>
      </c>
      <c r="E66">
        <f t="shared" ca="1" si="19"/>
        <v>0</v>
      </c>
      <c r="F66">
        <f t="shared" ca="1" si="20"/>
        <v>0</v>
      </c>
      <c r="G66">
        <f t="shared" ca="1" si="21"/>
        <v>0</v>
      </c>
      <c r="H66">
        <f t="shared" ca="1" si="41"/>
        <v>5</v>
      </c>
      <c r="I66" t="e">
        <f t="shared" ca="1" si="42"/>
        <v>#N/A</v>
      </c>
      <c r="J66" s="395" t="s">
        <v>99</v>
      </c>
      <c r="K66" s="162" t="str">
        <f t="shared" ca="1" si="22"/>
        <v>6.</v>
      </c>
      <c r="L66" s="396"/>
      <c r="M66" s="396"/>
      <c r="N66" s="397" t="s">
        <v>253</v>
      </c>
      <c r="O66" s="398" t="s">
        <v>106</v>
      </c>
      <c r="P66" s="399"/>
      <c r="Q66" s="228"/>
      <c r="R66" s="231" t="s">
        <v>7</v>
      </c>
      <c r="S66" s="121">
        <f t="shared" si="43"/>
        <v>0</v>
      </c>
      <c r="T66" s="98">
        <f t="shared" ca="1" si="44"/>
        <v>0</v>
      </c>
      <c r="U66" s="13" t="str">
        <f t="shared" ca="1" si="25"/>
        <v>SEM VALOR</v>
      </c>
      <c r="V66" s="4">
        <f ca="1">IF(OR($A66=0,$A66="S",$A66&gt;CFF!$A$9),"",MAX(V$12:OFFSET(V66,-1,0))+1)</f>
        <v>6</v>
      </c>
      <c r="W66" s="9" t="b">
        <f t="shared" si="26"/>
        <v>0</v>
      </c>
      <c r="X66" s="4" t="str">
        <f t="shared" ca="1" si="45"/>
        <v>X</v>
      </c>
      <c r="Y66" s="121">
        <v>0</v>
      </c>
      <c r="Z66" s="132">
        <f ca="1">ROUND(IF(ISNUMBER(R66),R66,IF(LEFT(R66,3)="BDI",HLOOKUP(R66,DADOS!$T$37:$X$38,2,FALSE),0)),15-11*$X$5)</f>
        <v>0.23</v>
      </c>
      <c r="AA66" s="4"/>
    </row>
    <row r="67" spans="1:27" x14ac:dyDescent="0.25">
      <c r="A67" t="str">
        <f t="shared" si="15"/>
        <v>S</v>
      </c>
      <c r="B67">
        <f t="shared" si="16"/>
        <v>0</v>
      </c>
      <c r="C67">
        <f t="shared" ca="1" si="17"/>
        <v>6</v>
      </c>
      <c r="D67">
        <f t="shared" ca="1" si="18"/>
        <v>0</v>
      </c>
      <c r="E67">
        <f t="shared" ca="1" si="19"/>
        <v>0</v>
      </c>
      <c r="F67">
        <f t="shared" ca="1" si="20"/>
        <v>0</v>
      </c>
      <c r="G67">
        <f t="shared" ca="1" si="21"/>
        <v>1</v>
      </c>
      <c r="H67">
        <f t="shared" ca="1" si="41"/>
        <v>0</v>
      </c>
      <c r="I67">
        <f t="shared" ca="1" si="42"/>
        <v>0</v>
      </c>
      <c r="J67" s="395" t="s">
        <v>103</v>
      </c>
      <c r="K67" s="162" t="str">
        <f t="shared" ca="1" si="22"/>
        <v>6.1.</v>
      </c>
      <c r="L67" s="396" t="s">
        <v>240</v>
      </c>
      <c r="M67" s="396" t="s">
        <v>252</v>
      </c>
      <c r="N67" s="397" t="s">
        <v>356</v>
      </c>
      <c r="O67" s="398" t="s">
        <v>241</v>
      </c>
      <c r="P67" s="399">
        <v>155</v>
      </c>
      <c r="Q67" s="228"/>
      <c r="R67" s="231" t="s">
        <v>7</v>
      </c>
      <c r="S67" s="121">
        <f t="shared" si="43"/>
        <v>0</v>
      </c>
      <c r="T67" s="98">
        <f t="shared" si="44"/>
        <v>0</v>
      </c>
      <c r="U67" s="13" t="str">
        <f t="shared" si="25"/>
        <v>SEM VALOR</v>
      </c>
      <c r="V67" s="4" t="str">
        <f ca="1">IF(OR($A67=0,$A67="S",$A67&gt;CFF!$A$9),"",MAX(V$12:OFFSET(V67,-1,0))+1)</f>
        <v/>
      </c>
      <c r="W67" s="9" t="str">
        <f t="shared" si="26"/>
        <v>PM BENTO-05</v>
      </c>
      <c r="X67" s="4">
        <f t="shared" ca="1" si="45"/>
        <v>11</v>
      </c>
      <c r="Y67" s="121">
        <v>6.49</v>
      </c>
      <c r="Z67" s="132">
        <f ca="1">ROUND(IF(ISNUMBER(R67),R67,IF(LEFT(R67,3)="BDI",HLOOKUP(R67,DADOS!$T$37:$X$38,2,FALSE),0)),15-11*$X$5)</f>
        <v>0.23</v>
      </c>
      <c r="AA67" s="4"/>
    </row>
    <row r="68" spans="1:27" x14ac:dyDescent="0.25">
      <c r="A68" t="str">
        <f t="shared" si="15"/>
        <v>S</v>
      </c>
      <c r="B68">
        <f t="shared" si="16"/>
        <v>0</v>
      </c>
      <c r="C68">
        <f t="shared" ca="1" si="17"/>
        <v>6</v>
      </c>
      <c r="D68">
        <f t="shared" ca="1" si="18"/>
        <v>0</v>
      </c>
      <c r="E68">
        <f t="shared" ca="1" si="19"/>
        <v>0</v>
      </c>
      <c r="F68">
        <f t="shared" ca="1" si="20"/>
        <v>0</v>
      </c>
      <c r="G68">
        <f t="shared" ca="1" si="21"/>
        <v>2</v>
      </c>
      <c r="H68">
        <f t="shared" ca="1" si="41"/>
        <v>0</v>
      </c>
      <c r="I68">
        <f t="shared" ca="1" si="42"/>
        <v>0</v>
      </c>
      <c r="J68" s="395" t="s">
        <v>103</v>
      </c>
      <c r="K68" s="162" t="str">
        <f t="shared" ca="1" si="22"/>
        <v>6.2.</v>
      </c>
      <c r="L68" s="396" t="s">
        <v>237</v>
      </c>
      <c r="M68" s="396" t="s">
        <v>276</v>
      </c>
      <c r="N68" s="397" t="s">
        <v>352</v>
      </c>
      <c r="O68" s="398" t="s">
        <v>241</v>
      </c>
      <c r="P68" s="399">
        <v>155</v>
      </c>
      <c r="Q68" s="228"/>
      <c r="R68" s="231" t="s">
        <v>7</v>
      </c>
      <c r="S68" s="121">
        <f t="shared" si="43"/>
        <v>0</v>
      </c>
      <c r="T68" s="98">
        <f t="shared" si="44"/>
        <v>0</v>
      </c>
      <c r="U68" s="13" t="str">
        <f t="shared" si="25"/>
        <v>SEM VALOR</v>
      </c>
      <c r="V68" s="4" t="str">
        <f ca="1">IF(OR($A68=0,$A68="S",$A68&gt;CFF!$A$9),"",MAX(V$12:OFFSET(V68,-1,0))+1)</f>
        <v/>
      </c>
      <c r="W68" s="9" t="str">
        <f t="shared" si="26"/>
        <v>SINAPI-101194</v>
      </c>
      <c r="X68" s="4">
        <f t="shared" ca="1" si="45"/>
        <v>7323</v>
      </c>
      <c r="Y68" s="121">
        <v>78.7</v>
      </c>
      <c r="Z68" s="132">
        <f ca="1">ROUND(IF(ISNUMBER(R68),R68,IF(LEFT(R68,3)="BDI",HLOOKUP(R68,DADOS!$T$37:$X$38,2,FALSE),0)),15-11*$X$5)</f>
        <v>0.23</v>
      </c>
      <c r="AA68" s="4"/>
    </row>
    <row r="69" spans="1:27" x14ac:dyDescent="0.25">
      <c r="A69" t="str">
        <f>CHOOSE(1+LOG(1+2*(J69="Meta")+4*(J69="Nível 2")+8*(J69="Nível 3")+16*(J69="Nível 4")+32*(J69="Serviço"),2),0,1,2,3,4,"S")</f>
        <v>S</v>
      </c>
      <c r="B69">
        <f>IF(OR(A69="S",A69=0),0,IF(ISERROR(I69),H69,SMALL(H69:I69,1)))</f>
        <v>0</v>
      </c>
      <c r="C69">
        <f ca="1">IF($A69=1,OFFSET(C69,-1,0)+1,OFFSET(C69,-1,0))</f>
        <v>6</v>
      </c>
      <c r="D69">
        <f ca="1">IF($A69=1,0,IF($A69=2,OFFSET(D69,-1,0)+1,OFFSET(D69,-1,0)))</f>
        <v>0</v>
      </c>
      <c r="E69">
        <f ca="1">IF(AND($A69&lt;=2,$A69&lt;&gt;0),0,IF($A69=3,OFFSET(E69,-1,0)+1,OFFSET(E69,-1,0)))</f>
        <v>0</v>
      </c>
      <c r="F69">
        <f ca="1">IF(AND($A69&lt;=3,$A69&lt;&gt;0),0,IF($A69=4,OFFSET(F69,-1,0)+1,OFFSET(F69,-1,0)))</f>
        <v>0</v>
      </c>
      <c r="G69">
        <f ca="1">IF(AND($A69&lt;=4,$A69&lt;&gt;0),0,IF($A69="S",OFFSET(G69,-1,0)+1,OFFSET(G69,-1,0)))</f>
        <v>3</v>
      </c>
      <c r="H69">
        <f t="shared" ca="1" si="41"/>
        <v>0</v>
      </c>
      <c r="I69">
        <f t="shared" ca="1" si="42"/>
        <v>0</v>
      </c>
      <c r="J69" s="395" t="s">
        <v>103</v>
      </c>
      <c r="K69" s="162" t="str">
        <f ca="1">IF($A69=0,"-",CONCATENATE(C69&amp;".",IF(AND($A$5&gt;=2,$A69&gt;=2),D69&amp;".",""),IF(AND($A$5&gt;=3,$A69&gt;=3),E69&amp;".",""),IF(AND($A$5&gt;=4,$A69&gt;=4),F69&amp;".",""),IF($A69="S",G69&amp;".","")))</f>
        <v>6.3.</v>
      </c>
      <c r="L69" s="396" t="s">
        <v>238</v>
      </c>
      <c r="M69" s="396" t="s">
        <v>353</v>
      </c>
      <c r="N69" s="397" t="s">
        <v>354</v>
      </c>
      <c r="O69" s="398" t="s">
        <v>289</v>
      </c>
      <c r="P69" s="399">
        <v>4500</v>
      </c>
      <c r="Q69" s="228"/>
      <c r="R69" s="231" t="s">
        <v>7</v>
      </c>
      <c r="S69" s="121">
        <f>IF($A69="S",IF($Q$10="Preço Unitário (R$)",PO.CustoUnitario,ROUND(PO.CustoUnitario*(1+$Z69),15-13*$X$6)),0)</f>
        <v>0</v>
      </c>
      <c r="T69" s="98">
        <f>IF($A69="S",VTOTAL1,IF($A69=0,0,ROUND(SomaAgrup,15-13*$X$7)))</f>
        <v>0</v>
      </c>
      <c r="U69" s="13" t="str">
        <f>IF($J69="","",IF($N69="","DESCRIÇÃO",IF(AND($J69="Serviço",$O69=""),"UNIDADE",IF($T69&lt;=0,"SEM VALOR",IF(AND($Y69&lt;&gt;"",$Q69&gt;$Y69),"ACIMA REF.","")))))</f>
        <v>SEM VALOR</v>
      </c>
      <c r="V69" s="4" t="str">
        <f ca="1">IF(OR($A69=0,$A69="S",$A69&gt;CFF!$A$9),"",MAX(V$12:OFFSET(V69,-1,0))+1)</f>
        <v/>
      </c>
      <c r="W69" s="9" t="str">
        <f>IF(AND($J69="Serviço",$M69&lt;&gt;""),IF($L69="",$M69,CONCATENATE($L69,"-",$M69)))</f>
        <v>SICRO-4413905</v>
      </c>
      <c r="X69" s="4" t="e">
        <f ca="1">IF(AND(Fonte&lt;&gt;"",Código&lt;&gt;""),MATCH(Fonte&amp;" "&amp;IF(Fonte="sinapi",SUBSTITUTE(SUBSTITUTE(Código,"/00","/"),"/0","/"),Código),INDIRECT("'[Referência "&amp;_xlnm.Database&amp;".xls]Banco'!$a:$a"),0),"X")</f>
        <v>#N/A</v>
      </c>
      <c r="Y69" s="121">
        <v>4.3899999999999997</v>
      </c>
      <c r="Z69" s="132">
        <f ca="1">ROUND(IF(ISNUMBER(R69),R69,IF(LEFT(R69,3)="BDI",HLOOKUP(R69,DADOS!$T$37:$X$38,2,FALSE),0)),15-11*$X$5)</f>
        <v>0.23</v>
      </c>
      <c r="AA69" s="4"/>
    </row>
    <row r="70" spans="1:27" x14ac:dyDescent="0.25">
      <c r="A70" t="str">
        <f t="shared" si="15"/>
        <v>S</v>
      </c>
      <c r="B70">
        <f t="shared" si="16"/>
        <v>0</v>
      </c>
      <c r="C70">
        <f t="shared" ca="1" si="17"/>
        <v>6</v>
      </c>
      <c r="D70">
        <f t="shared" ca="1" si="18"/>
        <v>0</v>
      </c>
      <c r="E70">
        <f t="shared" ca="1" si="19"/>
        <v>0</v>
      </c>
      <c r="F70">
        <f t="shared" ca="1" si="20"/>
        <v>0</v>
      </c>
      <c r="G70">
        <f t="shared" ca="1" si="21"/>
        <v>4</v>
      </c>
      <c r="H70">
        <f t="shared" ca="1" si="41"/>
        <v>0</v>
      </c>
      <c r="I70">
        <f t="shared" ca="1" si="42"/>
        <v>0</v>
      </c>
      <c r="J70" s="395" t="s">
        <v>103</v>
      </c>
      <c r="K70" s="162" t="str">
        <f t="shared" ca="1" si="22"/>
        <v>6.4.</v>
      </c>
      <c r="L70" s="396" t="s">
        <v>237</v>
      </c>
      <c r="M70" s="396" t="s">
        <v>277</v>
      </c>
      <c r="N70" s="397" t="s">
        <v>312</v>
      </c>
      <c r="O70" s="398" t="s">
        <v>289</v>
      </c>
      <c r="P70" s="399">
        <v>110</v>
      </c>
      <c r="Q70" s="228"/>
      <c r="R70" s="231" t="s">
        <v>7</v>
      </c>
      <c r="S70" s="121">
        <f t="shared" si="43"/>
        <v>0</v>
      </c>
      <c r="T70" s="98">
        <f t="shared" si="44"/>
        <v>0</v>
      </c>
      <c r="U70" s="13" t="str">
        <f t="shared" si="25"/>
        <v>SEM VALOR</v>
      </c>
      <c r="V70" s="4" t="str">
        <f ca="1">IF(OR($A70=0,$A70="S",$A70&gt;CFF!$A$9),"",MAX(V$12:OFFSET(V70,-1,0))+1)</f>
        <v/>
      </c>
      <c r="W70" s="9" t="str">
        <f t="shared" si="26"/>
        <v>SINAPI-103946</v>
      </c>
      <c r="X70" s="4">
        <f t="shared" ca="1" si="45"/>
        <v>7349</v>
      </c>
      <c r="Y70" s="121">
        <v>36.65</v>
      </c>
      <c r="Z70" s="132">
        <f ca="1">ROUND(IF(ISNUMBER(R70),R70,IF(LEFT(R70,3)="BDI",HLOOKUP(R70,DADOS!$T$37:$X$38,2,FALSE),0)),15-11*$X$5)</f>
        <v>0.23</v>
      </c>
      <c r="AA70" s="4"/>
    </row>
    <row r="71" spans="1:27" x14ac:dyDescent="0.25">
      <c r="A71">
        <v>-1</v>
      </c>
      <c r="C71">
        <v>0</v>
      </c>
      <c r="D71">
        <v>0</v>
      </c>
      <c r="E71">
        <v>0</v>
      </c>
      <c r="F71">
        <v>0</v>
      </c>
      <c r="G71">
        <v>0</v>
      </c>
      <c r="J71" s="83"/>
      <c r="K71" s="83"/>
      <c r="L71" s="83"/>
      <c r="M71" s="83"/>
      <c r="N71" s="83"/>
      <c r="O71" s="83"/>
      <c r="P71" s="83"/>
      <c r="Q71" s="83"/>
      <c r="R71" s="83"/>
      <c r="S71" s="83"/>
      <c r="T71" s="83"/>
      <c r="U71" s="4"/>
      <c r="V71" s="4"/>
      <c r="W71" s="4"/>
      <c r="X71" s="4"/>
      <c r="Y71" s="4"/>
      <c r="Z71" s="4"/>
      <c r="AA71" s="4"/>
    </row>
    <row r="72" spans="1:27" ht="14.25" customHeight="1" x14ac:dyDescent="0.25">
      <c r="A72" s="4"/>
      <c r="B72" s="4"/>
      <c r="C72" s="4"/>
      <c r="D72" s="4"/>
      <c r="E72" s="4"/>
      <c r="F72" s="4"/>
      <c r="G72" s="4"/>
      <c r="H72" s="4"/>
      <c r="I72" s="4"/>
      <c r="J72" s="4"/>
      <c r="K72" s="84" t="s">
        <v>62</v>
      </c>
      <c r="L72" s="4"/>
      <c r="M72" s="367" t="s">
        <v>141</v>
      </c>
      <c r="N72" s="368"/>
      <c r="O72" s="368"/>
      <c r="P72" s="368"/>
      <c r="Q72" s="368"/>
      <c r="R72" s="368"/>
      <c r="S72" s="368"/>
      <c r="T72" s="369"/>
      <c r="U72" s="4"/>
      <c r="V72" s="4"/>
      <c r="W72" s="4"/>
      <c r="X72" s="4"/>
      <c r="Y72" s="4"/>
      <c r="Z72" s="4"/>
      <c r="AA72" s="4"/>
    </row>
    <row r="73" spans="1:27"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row>
    <row r="74" spans="1:27" ht="13.8" x14ac:dyDescent="0.25">
      <c r="A74" s="4"/>
      <c r="B74" s="4"/>
      <c r="C74" s="4"/>
      <c r="D74" s="4"/>
      <c r="E74" s="4"/>
      <c r="F74" s="4"/>
      <c r="G74" s="4"/>
      <c r="H74" s="4"/>
      <c r="I74" s="4"/>
      <c r="J74" s="4"/>
      <c r="K74" s="90" t="s">
        <v>21</v>
      </c>
      <c r="L74" s="20"/>
      <c r="M74" s="20"/>
      <c r="N74" s="20"/>
      <c r="O74" s="20"/>
      <c r="P74" s="20"/>
      <c r="Q74" s="20"/>
      <c r="R74" s="20"/>
      <c r="S74" s="20"/>
      <c r="T74" s="89"/>
      <c r="U74" s="4"/>
      <c r="V74" s="4"/>
      <c r="W74" s="4"/>
      <c r="X74" s="4"/>
      <c r="Y74" s="4"/>
      <c r="Z74" s="4"/>
      <c r="AA74" s="4"/>
    </row>
    <row r="75" spans="1:27" ht="12.75" customHeight="1" x14ac:dyDescent="0.25">
      <c r="A75" s="4"/>
      <c r="B75" s="4"/>
      <c r="C75" s="4"/>
      <c r="D75" s="4"/>
      <c r="E75" s="4"/>
      <c r="F75" s="4"/>
      <c r="G75" s="4"/>
      <c r="H75" s="4"/>
      <c r="I75" s="4"/>
      <c r="J75" s="4"/>
      <c r="K75" s="361"/>
      <c r="L75" s="362"/>
      <c r="M75" s="362"/>
      <c r="N75" s="362"/>
      <c r="O75" s="362"/>
      <c r="P75" s="362"/>
      <c r="Q75" s="362"/>
      <c r="R75" s="362"/>
      <c r="S75" s="362"/>
      <c r="T75" s="363"/>
      <c r="U75" s="4"/>
      <c r="V75" s="4"/>
      <c r="W75" s="4"/>
      <c r="X75" s="4"/>
      <c r="Y75" s="4"/>
      <c r="Z75" s="4"/>
      <c r="AA75" s="4"/>
    </row>
    <row r="76" spans="1:27" x14ac:dyDescent="0.25">
      <c r="A76" s="4"/>
      <c r="B76" s="4"/>
      <c r="C76" s="4"/>
      <c r="D76" s="4"/>
      <c r="E76" s="4"/>
      <c r="F76" s="4"/>
      <c r="G76" s="4"/>
      <c r="H76" s="4"/>
      <c r="I76" s="4"/>
      <c r="J76" s="4"/>
      <c r="K76" s="361"/>
      <c r="L76" s="362"/>
      <c r="M76" s="362"/>
      <c r="N76" s="362"/>
      <c r="O76" s="362"/>
      <c r="P76" s="362"/>
      <c r="Q76" s="362"/>
      <c r="R76" s="362"/>
      <c r="S76" s="362"/>
      <c r="T76" s="363"/>
      <c r="U76" s="4"/>
      <c r="V76" s="4"/>
      <c r="W76" s="4"/>
      <c r="X76" s="4"/>
      <c r="Y76" s="4"/>
      <c r="Z76" s="4"/>
      <c r="AA76" s="4"/>
    </row>
    <row r="77" spans="1:27" x14ac:dyDescent="0.25">
      <c r="A77" s="4"/>
      <c r="B77" s="4"/>
      <c r="C77" s="4"/>
      <c r="D77" s="4"/>
      <c r="E77" s="4"/>
      <c r="F77" s="4"/>
      <c r="G77" s="4"/>
      <c r="H77" s="4"/>
      <c r="I77" s="4"/>
      <c r="J77" s="4"/>
      <c r="K77" s="364"/>
      <c r="L77" s="365"/>
      <c r="M77" s="365"/>
      <c r="N77" s="365"/>
      <c r="O77" s="365"/>
      <c r="P77" s="365"/>
      <c r="Q77" s="365"/>
      <c r="R77" s="365"/>
      <c r="S77" s="365"/>
      <c r="T77" s="366"/>
      <c r="U77" s="4"/>
      <c r="V77" s="4"/>
      <c r="W77" s="4"/>
      <c r="X77" s="4"/>
      <c r="Y77" s="4"/>
      <c r="Z77" s="4"/>
      <c r="AA77" s="4"/>
    </row>
    <row r="78" spans="1:27" ht="13.8" x14ac:dyDescent="0.25">
      <c r="A78" s="4"/>
      <c r="B78" s="4"/>
      <c r="C78" s="4"/>
      <c r="D78" s="4"/>
      <c r="E78" s="4"/>
      <c r="F78" s="4"/>
      <c r="G78" s="4"/>
      <c r="H78" s="4"/>
      <c r="I78" s="4"/>
      <c r="J78" s="4"/>
      <c r="K78" s="213"/>
      <c r="L78" s="213"/>
      <c r="M78" s="213"/>
      <c r="N78" s="213"/>
      <c r="O78" s="213"/>
      <c r="P78" s="213"/>
      <c r="Q78" s="213"/>
      <c r="R78" s="213"/>
      <c r="S78" s="213"/>
      <c r="T78" s="213"/>
      <c r="U78" s="4"/>
      <c r="V78" s="4"/>
      <c r="W78" s="4"/>
      <c r="X78" s="4"/>
      <c r="Y78" s="4"/>
      <c r="Z78" s="4"/>
      <c r="AA78" s="4"/>
    </row>
    <row r="79" spans="1:27" ht="13.8" x14ac:dyDescent="0.25">
      <c r="A79" s="4"/>
      <c r="B79" s="4"/>
      <c r="C79" s="4"/>
      <c r="D79" s="4"/>
      <c r="E79" s="4"/>
      <c r="F79" s="4"/>
      <c r="G79" s="4"/>
      <c r="H79" s="4"/>
      <c r="I79" s="4"/>
      <c r="J79" s="4"/>
      <c r="K79" s="35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79" s="359"/>
      <c r="M79" s="359"/>
      <c r="N79" s="359"/>
      <c r="O79" s="359"/>
      <c r="P79" s="359"/>
      <c r="Q79" s="359"/>
      <c r="R79" s="359"/>
      <c r="S79" s="359"/>
      <c r="T79" s="360"/>
      <c r="U79" s="4"/>
      <c r="V79" s="4"/>
      <c r="W79" s="4"/>
      <c r="X79" s="4"/>
      <c r="Y79" s="4"/>
      <c r="Z79" s="4"/>
      <c r="AA79" s="4"/>
    </row>
    <row r="80" spans="1:27"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ht="21"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row>
    <row r="82" spans="1:27" x14ac:dyDescent="0.25">
      <c r="A82" s="4"/>
      <c r="B82" s="4"/>
      <c r="C82" s="4"/>
      <c r="D82" s="4"/>
      <c r="E82" s="4"/>
      <c r="F82" s="4"/>
      <c r="G82" s="4"/>
      <c r="H82" s="4"/>
      <c r="I82" s="4"/>
      <c r="J82" s="4"/>
      <c r="K82" s="371" t="str">
        <f>Import.Município</f>
        <v>BENTO GONÇALVES/RS</v>
      </c>
      <c r="L82" s="371"/>
      <c r="M82" s="371"/>
      <c r="N82" s="4"/>
      <c r="O82" s="4"/>
      <c r="P82" s="4"/>
      <c r="Q82" s="4"/>
      <c r="R82" s="4"/>
      <c r="S82" s="4"/>
      <c r="T82" s="4"/>
      <c r="U82" s="4"/>
      <c r="V82" s="4"/>
      <c r="W82" s="4"/>
      <c r="X82" s="4"/>
      <c r="Y82" s="4"/>
      <c r="Z82" s="4"/>
      <c r="AA82" s="4"/>
    </row>
    <row r="83" spans="1:27" x14ac:dyDescent="0.25">
      <c r="A83" s="4"/>
      <c r="B83" s="4"/>
      <c r="C83" s="4"/>
      <c r="D83" s="4"/>
      <c r="E83" s="4"/>
      <c r="F83" s="4"/>
      <c r="G83" s="4"/>
      <c r="H83" s="4"/>
      <c r="I83" s="4"/>
      <c r="J83" s="4"/>
      <c r="K83" s="112" t="s">
        <v>120</v>
      </c>
      <c r="L83" s="4"/>
      <c r="M83" s="4"/>
      <c r="N83" s="4"/>
      <c r="O83" s="4"/>
      <c r="P83" s="4"/>
      <c r="Q83" s="4"/>
      <c r="R83" s="4"/>
      <c r="S83" s="4"/>
      <c r="T83" s="4"/>
      <c r="U83" s="4"/>
      <c r="V83" s="4"/>
      <c r="W83" s="4"/>
      <c r="X83" s="4"/>
      <c r="Y83" s="4"/>
      <c r="Z83" s="4"/>
      <c r="AA83" s="4"/>
    </row>
    <row r="84" spans="1:27"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row>
    <row r="85" spans="1:27" x14ac:dyDescent="0.25">
      <c r="A85" s="4"/>
      <c r="B85" s="4"/>
      <c r="C85" s="4"/>
      <c r="D85" s="4"/>
      <c r="E85" s="4"/>
      <c r="F85" s="4"/>
      <c r="G85" s="4"/>
      <c r="H85" s="4"/>
      <c r="I85" s="4"/>
      <c r="J85" s="4"/>
      <c r="K85" s="370">
        <f ca="1">TODAY()</f>
        <v>45812</v>
      </c>
      <c r="L85" s="370"/>
      <c r="M85" s="370"/>
      <c r="N85" s="4"/>
      <c r="O85" s="4"/>
      <c r="P85" s="4"/>
      <c r="Q85" s="4"/>
      <c r="R85" s="4"/>
      <c r="S85" s="4"/>
      <c r="T85" s="4"/>
      <c r="U85" s="4"/>
      <c r="V85" s="4"/>
      <c r="W85" s="4"/>
      <c r="X85" s="4"/>
      <c r="Y85" s="4"/>
      <c r="Z85" s="4"/>
      <c r="AA85" s="4"/>
    </row>
    <row r="86" spans="1:27" x14ac:dyDescent="0.25">
      <c r="A86" s="4"/>
      <c r="B86" s="4"/>
      <c r="C86" s="4"/>
      <c r="D86" s="4"/>
      <c r="E86" s="4"/>
      <c r="F86" s="4"/>
      <c r="G86" s="4"/>
      <c r="H86" s="4"/>
      <c r="I86" s="4"/>
      <c r="J86" s="4"/>
      <c r="K86" s="141" t="s">
        <v>121</v>
      </c>
      <c r="L86" s="83"/>
      <c r="M86" s="83"/>
      <c r="N86" s="4"/>
      <c r="O86" s="4"/>
      <c r="P86" s="4"/>
      <c r="Q86" s="4"/>
      <c r="R86" s="4"/>
      <c r="S86" s="4"/>
      <c r="T86" s="4"/>
      <c r="U86" s="4"/>
      <c r="V86" s="4"/>
      <c r="W86" s="4"/>
      <c r="X86" s="4"/>
      <c r="Y86" s="4"/>
      <c r="Z86" s="4"/>
      <c r="AA86" s="4"/>
    </row>
  </sheetData>
  <sheetProtection password="C95B" sheet="1" objects="1" scenarios="1"/>
  <mergeCells count="6">
    <mergeCell ref="W2:X2"/>
    <mergeCell ref="K79:T79"/>
    <mergeCell ref="K75:T77"/>
    <mergeCell ref="M72:T72"/>
    <mergeCell ref="K85:M85"/>
    <mergeCell ref="K82:M82"/>
  </mergeCells>
  <phoneticPr fontId="25" type="noConversion"/>
  <conditionalFormatting sqref="O12:R12 L12:M12">
    <cfRule type="expression" dxfId="393" priority="5636" stopIfTrue="1">
      <formula>$J12=$C$2</formula>
    </cfRule>
    <cfRule type="expression" dxfId="392" priority="5637" stopIfTrue="1">
      <formula>UPPER(LEFT($J12,5))="NÍVEL"</formula>
    </cfRule>
    <cfRule type="expression" dxfId="391" priority="5638" stopIfTrue="1">
      <formula>$J12=$C$8</formula>
    </cfRule>
  </conditionalFormatting>
  <conditionalFormatting sqref="Y12:Z12 S12:T12 K12">
    <cfRule type="expression" dxfId="390" priority="5639" stopIfTrue="1">
      <formula>$J12=$C$2</formula>
    </cfRule>
    <cfRule type="expression" dxfId="389" priority="5640" stopIfTrue="1">
      <formula>UPPER(LEFT($J12,5))="NÍVEL"</formula>
    </cfRule>
  </conditionalFormatting>
  <conditionalFormatting sqref="K11 K13:K19 K22:K70">
    <cfRule type="expression" dxfId="388" priority="5652" stopIfTrue="1">
      <formula>$J11=$C$2</formula>
    </cfRule>
    <cfRule type="expression" dxfId="387" priority="5653" stopIfTrue="1">
      <formula>AND($J11&lt;&gt;"",$J11&lt;&gt;"Serviço")</formula>
    </cfRule>
    <cfRule type="expression" dxfId="386" priority="5654" stopIfTrue="1">
      <formula>$J11=""</formula>
    </cfRule>
  </conditionalFormatting>
  <conditionalFormatting sqref="P11 P13:P19 P22:P70">
    <cfRule type="expression" dxfId="385" priority="3979" stopIfTrue="1">
      <formula>$J11=$C$2</formula>
    </cfRule>
    <cfRule type="expression" dxfId="384" priority="5658" stopIfTrue="1">
      <formula>AND($J11&lt;&gt;"Serviço")</formula>
    </cfRule>
    <cfRule type="expression" dxfId="383" priority="5659" stopIfTrue="1">
      <formula>CELL("proteger",P11)</formula>
    </cfRule>
  </conditionalFormatting>
  <conditionalFormatting sqref="Q11:R11 Q13:R19 Q22:R70">
    <cfRule type="expression" dxfId="382" priority="5660" stopIfTrue="1">
      <formula>$J11=$C$2</formula>
    </cfRule>
    <cfRule type="expression" dxfId="381" priority="5661" stopIfTrue="1">
      <formula>$J11&lt;&gt;"Serviço"</formula>
    </cfRule>
    <cfRule type="expression" dxfId="380" priority="5662" stopIfTrue="1">
      <formula>CELL("proteger",Q11)</formula>
    </cfRule>
  </conditionalFormatting>
  <conditionalFormatting sqref="S11:T11 Y11:Z11 S13:T19 Y13:Z19 S22:T70 Y22:Z70">
    <cfRule type="expression" dxfId="379" priority="5663" stopIfTrue="1">
      <formula>$J11=$C$2</formula>
    </cfRule>
    <cfRule type="expression" dxfId="378" priority="5664" stopIfTrue="1">
      <formula>$J11&lt;&gt;"Serviço"</formula>
    </cfRule>
  </conditionalFormatting>
  <conditionalFormatting sqref="L11:M11 L13:M19 L22:M70">
    <cfRule type="expression" dxfId="377" priority="5684" stopIfTrue="1">
      <formula>$J11=$C$2</formula>
    </cfRule>
    <cfRule type="expression" dxfId="376" priority="5685" stopIfTrue="1">
      <formula>$J11&lt;&gt;"Serviço"</formula>
    </cfRule>
    <cfRule type="expression" dxfId="375" priority="5686" stopIfTrue="1">
      <formula>OR(CELL("proteger",L11),$J11="",TipoOrçamento="Licitado")</formula>
    </cfRule>
  </conditionalFormatting>
  <conditionalFormatting sqref="K72:T72">
    <cfRule type="expression" dxfId="374" priority="5665" stopIfTrue="1">
      <formula>OR(Tipo.Orçamento="LICITADO",Tipo.Orçamento="REPROGRAMADOAC")</formula>
    </cfRule>
    <cfRule type="expression" dxfId="373" priority="5666" stopIfTrue="1">
      <formula>$M$72=""</formula>
    </cfRule>
  </conditionalFormatting>
  <conditionalFormatting sqref="J11 J47:J49 J13:J19 J66:J67 J28:J30 J24">
    <cfRule type="expression" dxfId="372" priority="5693" stopIfTrue="1">
      <formula>TipoOrçamento="Licitado"</formula>
    </cfRule>
  </conditionalFormatting>
  <conditionalFormatting sqref="O11 O13:O19 O22:O70">
    <cfRule type="expression" dxfId="371" priority="3999" stopIfTrue="1">
      <formula>$J11=$C$2</formula>
    </cfRule>
    <cfRule type="expression" dxfId="370" priority="4000" stopIfTrue="1">
      <formula>AND($J11&lt;&gt;"Serviço")</formula>
    </cfRule>
    <cfRule type="expression" dxfId="369" priority="4001" stopIfTrue="1">
      <formula>CELL("proteger",O11)</formula>
    </cfRule>
  </conditionalFormatting>
  <conditionalFormatting sqref="N11 N14:N19 N22:N70">
    <cfRule type="expression" dxfId="368" priority="4002" stopIfTrue="1">
      <formula>$J11=$C$2</formula>
    </cfRule>
    <cfRule type="expression" dxfId="367" priority="4003" stopIfTrue="1">
      <formula>$J11&lt;&gt;"Serviço"</formula>
    </cfRule>
    <cfRule type="expression" dxfId="366" priority="4004" stopIfTrue="1">
      <formula>CELL("proteger",N11)</formula>
    </cfRule>
  </conditionalFormatting>
  <conditionalFormatting sqref="N13">
    <cfRule type="expression" dxfId="365" priority="3868" stopIfTrue="1">
      <formula>$J13=$C$2</formula>
    </cfRule>
    <cfRule type="expression" dxfId="364" priority="3869" stopIfTrue="1">
      <formula>$J13&lt;&gt;"Serviço"</formula>
    </cfRule>
    <cfRule type="expression" dxfId="363" priority="3870" stopIfTrue="1">
      <formula>CELL("proteger",N13)</formula>
    </cfRule>
  </conditionalFormatting>
  <conditionalFormatting sqref="J68 J70">
    <cfRule type="expression" dxfId="362" priority="990" stopIfTrue="1">
      <formula>TipoOrçamento="Licitado"</formula>
    </cfRule>
  </conditionalFormatting>
  <conditionalFormatting sqref="J32">
    <cfRule type="expression" dxfId="361" priority="969" stopIfTrue="1">
      <formula>TipoOrçamento="Licitado"</formula>
    </cfRule>
  </conditionalFormatting>
  <conditionalFormatting sqref="J50:J51 J53:J62">
    <cfRule type="expression" dxfId="360" priority="948" stopIfTrue="1">
      <formula>TipoOrçamento="Licitado"</formula>
    </cfRule>
  </conditionalFormatting>
  <conditionalFormatting sqref="J46">
    <cfRule type="expression" dxfId="359" priority="900" stopIfTrue="1">
      <formula>TipoOrçamento="Licitado"</formula>
    </cfRule>
  </conditionalFormatting>
  <conditionalFormatting sqref="J33">
    <cfRule type="expression" dxfId="358" priority="834" stopIfTrue="1">
      <formula>TipoOrçamento="Licitado"</formula>
    </cfRule>
  </conditionalFormatting>
  <conditionalFormatting sqref="J34">
    <cfRule type="expression" dxfId="357" priority="813" stopIfTrue="1">
      <formula>TipoOrçamento="Licitado"</formula>
    </cfRule>
  </conditionalFormatting>
  <conditionalFormatting sqref="J31">
    <cfRule type="expression" dxfId="356" priority="792" stopIfTrue="1">
      <formula>TipoOrçamento="Licitado"</formula>
    </cfRule>
  </conditionalFormatting>
  <conditionalFormatting sqref="J39">
    <cfRule type="expression" dxfId="355" priority="771" stopIfTrue="1">
      <formula>TipoOrçamento="Licitado"</formula>
    </cfRule>
  </conditionalFormatting>
  <conditionalFormatting sqref="J36">
    <cfRule type="expression" dxfId="354" priority="750" stopIfTrue="1">
      <formula>TipoOrçamento="Licitado"</formula>
    </cfRule>
  </conditionalFormatting>
  <conditionalFormatting sqref="J41">
    <cfRule type="expression" dxfId="353" priority="729" stopIfTrue="1">
      <formula>TipoOrçamento="Licitado"</formula>
    </cfRule>
  </conditionalFormatting>
  <conditionalFormatting sqref="J35">
    <cfRule type="expression" dxfId="352" priority="708" stopIfTrue="1">
      <formula>TipoOrçamento="Licitado"</formula>
    </cfRule>
  </conditionalFormatting>
  <conditionalFormatting sqref="J42">
    <cfRule type="expression" dxfId="351" priority="687" stopIfTrue="1">
      <formula>TipoOrçamento="Licitado"</formula>
    </cfRule>
  </conditionalFormatting>
  <conditionalFormatting sqref="J43">
    <cfRule type="expression" dxfId="350" priority="666" stopIfTrue="1">
      <formula>TipoOrçamento="Licitado"</formula>
    </cfRule>
  </conditionalFormatting>
  <conditionalFormatting sqref="J44">
    <cfRule type="expression" dxfId="349" priority="645" stopIfTrue="1">
      <formula>TipoOrçamento="Licitado"</formula>
    </cfRule>
  </conditionalFormatting>
  <conditionalFormatting sqref="J52">
    <cfRule type="expression" dxfId="348" priority="582" stopIfTrue="1">
      <formula>TipoOrçamento="Licitado"</formula>
    </cfRule>
  </conditionalFormatting>
  <conditionalFormatting sqref="J63">
    <cfRule type="expression" dxfId="347" priority="537" stopIfTrue="1">
      <formula>TipoOrçamento="Licitado"</formula>
    </cfRule>
  </conditionalFormatting>
  <conditionalFormatting sqref="J64">
    <cfRule type="expression" dxfId="346" priority="516" stopIfTrue="1">
      <formula>TipoOrçamento="Licitado"</formula>
    </cfRule>
  </conditionalFormatting>
  <conditionalFormatting sqref="J65">
    <cfRule type="expression" dxfId="345" priority="495" stopIfTrue="1">
      <formula>TipoOrçamento="Licitado"</formula>
    </cfRule>
  </conditionalFormatting>
  <conditionalFormatting sqref="J45">
    <cfRule type="expression" dxfId="344" priority="474" stopIfTrue="1">
      <formula>TipoOrçamento="Licitado"</formula>
    </cfRule>
  </conditionalFormatting>
  <conditionalFormatting sqref="J37">
    <cfRule type="expression" dxfId="343" priority="453" stopIfTrue="1">
      <formula>TipoOrçamento="Licitado"</formula>
    </cfRule>
  </conditionalFormatting>
  <conditionalFormatting sqref="J38">
    <cfRule type="expression" dxfId="342" priority="432" stopIfTrue="1">
      <formula>TipoOrçamento="Licitado"</formula>
    </cfRule>
  </conditionalFormatting>
  <conditionalFormatting sqref="J40">
    <cfRule type="expression" dxfId="341" priority="381" stopIfTrue="1">
      <formula>TipoOrçamento="Licitado"</formula>
    </cfRule>
  </conditionalFormatting>
  <conditionalFormatting sqref="J25:J27">
    <cfRule type="expression" dxfId="340" priority="294" stopIfTrue="1">
      <formula>TipoOrçamento="Licitado"</formula>
    </cfRule>
  </conditionalFormatting>
  <conditionalFormatting sqref="J22">
    <cfRule type="expression" dxfId="339" priority="231" stopIfTrue="1">
      <formula>TipoOrçamento="Licitado"</formula>
    </cfRule>
  </conditionalFormatting>
  <conditionalFormatting sqref="K20">
    <cfRule type="expression" dxfId="338" priority="176" stopIfTrue="1">
      <formula>$J20=$C$2</formula>
    </cfRule>
    <cfRule type="expression" dxfId="337" priority="177" stopIfTrue="1">
      <formula>AND($J20&lt;&gt;"",$J20&lt;&gt;"Serviço")</formula>
    </cfRule>
    <cfRule type="expression" dxfId="336" priority="178" stopIfTrue="1">
      <formula>$J20=""</formula>
    </cfRule>
  </conditionalFormatting>
  <conditionalFormatting sqref="P20">
    <cfRule type="expression" dxfId="335" priority="169" stopIfTrue="1">
      <formula>$J20=$C$2</formula>
    </cfRule>
    <cfRule type="expression" dxfId="334" priority="179" stopIfTrue="1">
      <formula>AND($J20&lt;&gt;"Serviço")</formula>
    </cfRule>
    <cfRule type="expression" dxfId="333" priority="180" stopIfTrue="1">
      <formula>CELL("proteger",P20)</formula>
    </cfRule>
  </conditionalFormatting>
  <conditionalFormatting sqref="Q20:R20">
    <cfRule type="expression" dxfId="332" priority="181" stopIfTrue="1">
      <formula>$J20=$C$2</formula>
    </cfRule>
    <cfRule type="expression" dxfId="331" priority="182" stopIfTrue="1">
      <formula>$J20&lt;&gt;"Serviço"</formula>
    </cfRule>
    <cfRule type="expression" dxfId="330" priority="183" stopIfTrue="1">
      <formula>CELL("proteger",Q20)</formula>
    </cfRule>
  </conditionalFormatting>
  <conditionalFormatting sqref="S20:T20 Y20:Z20">
    <cfRule type="expression" dxfId="329" priority="184" stopIfTrue="1">
      <formula>$J20=$C$2</formula>
    </cfRule>
    <cfRule type="expression" dxfId="328" priority="185" stopIfTrue="1">
      <formula>$J20&lt;&gt;"Serviço"</formula>
    </cfRule>
  </conditionalFormatting>
  <conditionalFormatting sqref="L20:M20">
    <cfRule type="expression" dxfId="327" priority="186" stopIfTrue="1">
      <formula>$J20=$C$2</formula>
    </cfRule>
    <cfRule type="expression" dxfId="326" priority="187" stopIfTrue="1">
      <formula>$J20&lt;&gt;"Serviço"</formula>
    </cfRule>
    <cfRule type="expression" dxfId="325" priority="188" stopIfTrue="1">
      <formula>OR(CELL("proteger",L20),$J20="",TipoOrçamento="Licitado")</formula>
    </cfRule>
  </conditionalFormatting>
  <conditionalFormatting sqref="J20">
    <cfRule type="expression" dxfId="324" priority="189" stopIfTrue="1">
      <formula>TipoOrçamento="Licitado"</formula>
    </cfRule>
  </conditionalFormatting>
  <conditionalFormatting sqref="O20">
    <cfRule type="expression" dxfId="323" priority="170" stopIfTrue="1">
      <formula>$J20=$C$2</formula>
    </cfRule>
    <cfRule type="expression" dxfId="322" priority="171" stopIfTrue="1">
      <formula>AND($J20&lt;&gt;"Serviço")</formula>
    </cfRule>
    <cfRule type="expression" dxfId="321" priority="172" stopIfTrue="1">
      <formula>CELL("proteger",O20)</formula>
    </cfRule>
  </conditionalFormatting>
  <conditionalFormatting sqref="N20">
    <cfRule type="expression" dxfId="320" priority="173" stopIfTrue="1">
      <formula>$J20=$C$2</formula>
    </cfRule>
    <cfRule type="expression" dxfId="319" priority="174" stopIfTrue="1">
      <formula>$J20&lt;&gt;"Serviço"</formula>
    </cfRule>
    <cfRule type="expression" dxfId="318" priority="175" stopIfTrue="1">
      <formula>CELL("proteger",N20)</formula>
    </cfRule>
  </conditionalFormatting>
  <conditionalFormatting sqref="K21">
    <cfRule type="expression" dxfId="317" priority="155" stopIfTrue="1">
      <formula>$J21=$C$2</formula>
    </cfRule>
    <cfRule type="expression" dxfId="316" priority="156" stopIfTrue="1">
      <formula>AND($J21&lt;&gt;"",$J21&lt;&gt;"Serviço")</formula>
    </cfRule>
    <cfRule type="expression" dxfId="315" priority="157" stopIfTrue="1">
      <formula>$J21=""</formula>
    </cfRule>
  </conditionalFormatting>
  <conditionalFormatting sqref="P21">
    <cfRule type="expression" dxfId="314" priority="148" stopIfTrue="1">
      <formula>$J21=$C$2</formula>
    </cfRule>
    <cfRule type="expression" dxfId="313" priority="158" stopIfTrue="1">
      <formula>AND($J21&lt;&gt;"Serviço")</formula>
    </cfRule>
    <cfRule type="expression" dxfId="312" priority="159" stopIfTrue="1">
      <formula>CELL("proteger",P21)</formula>
    </cfRule>
  </conditionalFormatting>
  <conditionalFormatting sqref="Q21:R21">
    <cfRule type="expression" dxfId="311" priority="160" stopIfTrue="1">
      <formula>$J21=$C$2</formula>
    </cfRule>
    <cfRule type="expression" dxfId="310" priority="161" stopIfTrue="1">
      <formula>$J21&lt;&gt;"Serviço"</formula>
    </cfRule>
    <cfRule type="expression" dxfId="309" priority="162" stopIfTrue="1">
      <formula>CELL("proteger",Q21)</formula>
    </cfRule>
  </conditionalFormatting>
  <conditionalFormatting sqref="S21:T21 Y21:Z21">
    <cfRule type="expression" dxfId="308" priority="163" stopIfTrue="1">
      <formula>$J21=$C$2</formula>
    </cfRule>
    <cfRule type="expression" dxfId="307" priority="164" stopIfTrue="1">
      <formula>$J21&lt;&gt;"Serviço"</formula>
    </cfRule>
  </conditionalFormatting>
  <conditionalFormatting sqref="L21:M21">
    <cfRule type="expression" dxfId="306" priority="165" stopIfTrue="1">
      <formula>$J21=$C$2</formula>
    </cfRule>
    <cfRule type="expression" dxfId="305" priority="166" stopIfTrue="1">
      <formula>$J21&lt;&gt;"Serviço"</formula>
    </cfRule>
    <cfRule type="expression" dxfId="304" priority="167" stopIfTrue="1">
      <formula>OR(CELL("proteger",L21),$J21="",TipoOrçamento="Licitado")</formula>
    </cfRule>
  </conditionalFormatting>
  <conditionalFormatting sqref="J21">
    <cfRule type="expression" dxfId="303" priority="168" stopIfTrue="1">
      <formula>TipoOrçamento="Licitado"</formula>
    </cfRule>
  </conditionalFormatting>
  <conditionalFormatting sqref="O21">
    <cfRule type="expression" dxfId="302" priority="149" stopIfTrue="1">
      <formula>$J21=$C$2</formula>
    </cfRule>
    <cfRule type="expression" dxfId="301" priority="150" stopIfTrue="1">
      <formula>AND($J21&lt;&gt;"Serviço")</formula>
    </cfRule>
    <cfRule type="expression" dxfId="300" priority="151" stopIfTrue="1">
      <formula>CELL("proteger",O21)</formula>
    </cfRule>
  </conditionalFormatting>
  <conditionalFormatting sqref="N21">
    <cfRule type="expression" dxfId="299" priority="152" stopIfTrue="1">
      <formula>$J21=$C$2</formula>
    </cfRule>
    <cfRule type="expression" dxfId="298" priority="153" stopIfTrue="1">
      <formula>$J21&lt;&gt;"Serviço"</formula>
    </cfRule>
    <cfRule type="expression" dxfId="297" priority="154" stopIfTrue="1">
      <formula>CELL("proteger",N21)</formula>
    </cfRule>
  </conditionalFormatting>
  <conditionalFormatting sqref="J23">
    <cfRule type="expression" dxfId="296" priority="126" stopIfTrue="1">
      <formula>TipoOrçamento="Licitado"</formula>
    </cfRule>
  </conditionalFormatting>
  <conditionalFormatting sqref="J69">
    <cfRule type="expression" dxfId="295" priority="21" stopIfTrue="1">
      <formula>TipoOrçamento="Licitado"</formula>
    </cfRule>
  </conditionalFormatting>
  <dataValidations count="3">
    <dataValidation type="decimal" operator="greaterThan" allowBlank="1" showInputMessage="1" showErrorMessage="1" error="Apenas números decimais maiores que zero." sqref="Q11 Q13:Q70">
      <formula1>0</formula1>
    </dataValidation>
    <dataValidation type="list" errorStyle="warning" allowBlank="1" showInputMessage="1" showErrorMessage="1" error="Selecione um dos 5 BDI da lista._x000a__x000a_Caso tenha mais de 5 BDI nesta Planilha Orçamentária digite apenas valor percentual." sqref="R11 R13:R70">
      <formula1>Dados.Lista.BDI</formula1>
    </dataValidation>
    <dataValidation type="list" showInputMessage="1" showErrorMessage="1" errorTitle="Erro de Entrada" error="Selecione somente os itens da lista." promptTitle="Nível:" prompt="Selecione na lista o nível de itemização da Planilha." sqref="J11 J14:J70">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82 K85"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77"/>
  <sheetViews>
    <sheetView showGridLines="0" zoomScale="70" zoomScaleNormal="70" workbookViewId="0">
      <selection activeCell="K32" sqref="K32"/>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401" t="s">
        <v>235</v>
      </c>
      <c r="G9" s="401"/>
      <c r="H9" s="401"/>
      <c r="I9" s="401"/>
      <c r="J9" s="401"/>
      <c r="K9" s="401"/>
      <c r="L9" s="401"/>
      <c r="M9" s="401"/>
      <c r="N9" s="401"/>
      <c r="O9" s="401"/>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x14ac:dyDescent="0.25">
      <c r="A14" s="128" t="str">
        <f ca="1">OFFSET(PO!J$12,ROW(A14)-ROW($A$12),0)</f>
        <v>Serviço</v>
      </c>
      <c r="B14" s="130" t="str">
        <f ca="1">IF($A14=0,"",OFFSET(PO!K$12,ROW(B14)-ROW(B$12),0))</f>
        <v>1.1.</v>
      </c>
      <c r="C14" s="127" t="str">
        <f ca="1">IF(OFFSET(PO!N$12,ROW(C14)-ROW(C$12),0)=0,"",OFFSET(PO!N$12,ROW(C14)-ROW(C$12),0))</f>
        <v>PLACA DE OBRA EM CHAPA DE ACO GALVANIZADO</v>
      </c>
      <c r="D14" s="129" t="str">
        <f ca="1">IF(OFFSET(PO!O$12,ROW(D14)-ROW(D$12),0)=0,"",OFFSET(PO!O$12,ROW(D14)-ROW(D$12),0))</f>
        <v xml:space="preserve">M2    </v>
      </c>
      <c r="E14" s="165">
        <f ca="1">IF($A14&lt;&gt;"Serviço",0,ROUND(SUMIF($F$9:$P$9,"&lt;&gt;",$F14:$P14),15-13*PO!$X$3))</f>
        <v>4.5</v>
      </c>
      <c r="F14" s="400">
        <f ca="1">OFFSET(PO!$P$12,ROW($E14)-ROW(F$12),0)</f>
        <v>4.5</v>
      </c>
      <c r="G14" s="400"/>
      <c r="H14" s="400"/>
      <c r="I14" s="400"/>
      <c r="J14" s="400"/>
      <c r="K14" s="400"/>
      <c r="L14" s="400"/>
      <c r="M14" s="400"/>
      <c r="N14" s="400"/>
      <c r="O14" s="400"/>
      <c r="U14" s="215"/>
    </row>
    <row r="15" spans="1:21" s="4" customFormat="1" ht="26.4" x14ac:dyDescent="0.25">
      <c r="A15" s="128" t="str">
        <f ca="1">OFFSET(PO!J$12,ROW(A15)-ROW($A$12),0)</f>
        <v>Serviço</v>
      </c>
      <c r="B15" s="130" t="str">
        <f ca="1">IF($A15=0,"",OFFSET(PO!K$12,ROW(B15)-ROW(B$12),0))</f>
        <v>1.2.</v>
      </c>
      <c r="C15" s="127" t="str">
        <f ca="1">IF(OFFSET(PO!N$12,ROW(C15)-ROW(C$12),0)=0,"",OFFSET(PO!N$12,ROW(C15)-ROW(C$12),0))</f>
        <v>SINALIZACAO DE TRANSITO PARA OBRA - INCLUSO SINALIZAÇÃO NOTURNA</v>
      </c>
      <c r="D15" s="129" t="str">
        <f ca="1">IF(OFFSET(PO!O$12,ROW(D15)-ROW(D$12),0)=0,"",OFFSET(PO!O$12,ROW(D15)-ROW(D$12),0))</f>
        <v>M</v>
      </c>
      <c r="E15" s="165">
        <f ca="1">IF($A15&lt;&gt;"Serviço",0,ROUND(SUMIF($F$9:$P$9,"&lt;&gt;",$F15:$P15),15-13*PO!$X$3))</f>
        <v>1000</v>
      </c>
      <c r="F15" s="400">
        <f ca="1">OFFSET(PO!$P$12,ROW($E15)-ROW(F$12),0)</f>
        <v>1000</v>
      </c>
      <c r="G15" s="400"/>
      <c r="H15" s="400"/>
      <c r="I15" s="400"/>
      <c r="J15" s="400"/>
      <c r="K15" s="400"/>
      <c r="L15" s="400"/>
      <c r="M15" s="400"/>
      <c r="N15" s="400"/>
      <c r="O15" s="400"/>
      <c r="U15" s="215"/>
    </row>
    <row r="16" spans="1:21" s="4" customFormat="1" ht="39.6" x14ac:dyDescent="0.25">
      <c r="A16" s="128" t="str">
        <f ca="1">OFFSET(PO!J$12,ROW(A16)-ROW($A$12),0)</f>
        <v>Serviço</v>
      </c>
      <c r="B16" s="130" t="str">
        <f ca="1">IF($A16=0,"",OFFSET(PO!K$12,ROW(B16)-ROW(B$12),0))</f>
        <v>1.3.</v>
      </c>
      <c r="C16" s="127" t="str">
        <f ca="1">IF(OFFSET(PO!N$12,ROW(C16)-ROW(C$12),0)=0,"",OFFSET(PO!N$12,ROW(C16)-ROW(C$12),0))</f>
        <v>LIMPEZA MECANIZADA DE CAMADA VEGETAL, VEGETAÇÃO E PEQUENAS ÁRVORES (DIÂMETRO DE TRONCO MENOR QUE 0,20 M), COM TRATOR DE ESTEIRAS.AF_05/2018</v>
      </c>
      <c r="D16" s="129" t="str">
        <f ca="1">IF(OFFSET(PO!O$12,ROW(D16)-ROW(D$12),0)=0,"",OFFSET(PO!O$12,ROW(D16)-ROW(D$12),0))</f>
        <v>M2</v>
      </c>
      <c r="E16" s="165">
        <f ca="1">IF($A16&lt;&gt;"Serviço",0,ROUND(SUMIF($F$9:$P$9,"&lt;&gt;",$F16:$P16),15-13*PO!$X$3))</f>
        <v>3000</v>
      </c>
      <c r="F16" s="400">
        <f ca="1">OFFSET(PO!$P$12,ROW($E16)-ROW(F$12),0)</f>
        <v>3000</v>
      </c>
      <c r="G16" s="400"/>
      <c r="H16" s="400"/>
      <c r="I16" s="400"/>
      <c r="J16" s="400"/>
      <c r="K16" s="400"/>
      <c r="L16" s="400"/>
      <c r="M16" s="400"/>
      <c r="N16" s="400"/>
      <c r="O16" s="400"/>
      <c r="U16" s="215"/>
    </row>
    <row r="17" spans="1:21" s="4" customFormat="1" ht="26.4" x14ac:dyDescent="0.25">
      <c r="A17" s="128" t="str">
        <f ca="1">OFFSET(PO!J$12,ROW(A17)-ROW($A$12),0)</f>
        <v>Serviço</v>
      </c>
      <c r="B17" s="130" t="str">
        <f ca="1">IF($A17=0,"",OFFSET(PO!K$12,ROW(B17)-ROW(B$12),0))</f>
        <v>1.4.</v>
      </c>
      <c r="C17" s="127" t="str">
        <f ca="1">IF(OFFSET(PO!N$12,ROW(C17)-ROW(C$12),0)=0,"",OFFSET(PO!N$12,ROW(C17)-ROW(C$12),0))</f>
        <v>ENGENHEIRO CIVIL DE OBRA PLENO COM ENCARGOS COMPLEMENTARES</v>
      </c>
      <c r="D17" s="129" t="str">
        <f ca="1">IF(OFFSET(PO!O$12,ROW(D17)-ROW(D$12),0)=0,"",OFFSET(PO!O$12,ROW(D17)-ROW(D$12),0))</f>
        <v>H</v>
      </c>
      <c r="E17" s="165">
        <f ca="1">IF($A17&lt;&gt;"Serviço",0,ROUND(SUMIF($F$9:$P$9,"&lt;&gt;",$F17:$P17),15-13*PO!$X$3))</f>
        <v>80</v>
      </c>
      <c r="F17" s="400">
        <f ca="1">OFFSET(PO!$P$12,ROW($E17)-ROW(F$12),0)</f>
        <v>80</v>
      </c>
      <c r="G17" s="400"/>
      <c r="H17" s="400"/>
      <c r="I17" s="400"/>
      <c r="J17" s="400"/>
      <c r="K17" s="400"/>
      <c r="L17" s="400"/>
      <c r="M17" s="400"/>
      <c r="N17" s="400"/>
      <c r="O17" s="400"/>
      <c r="U17" s="215"/>
    </row>
    <row r="18" spans="1:21" s="4" customFormat="1" x14ac:dyDescent="0.25">
      <c r="A18" s="128" t="str">
        <f ca="1">OFFSET(PO!J$12,ROW(A18)-ROW($A$12),0)</f>
        <v>Serviço</v>
      </c>
      <c r="B18" s="130" t="str">
        <f ca="1">IF($A18=0,"",OFFSET(PO!K$12,ROW(B18)-ROW(B$12),0))</f>
        <v>1.5.</v>
      </c>
      <c r="C18" s="127" t="str">
        <f ca="1">IF(OFFSET(PO!N$12,ROW(C18)-ROW(C$12),0)=0,"",OFFSET(PO!N$12,ROW(C18)-ROW(C$12),0))</f>
        <v>TOPOGRAFO COM ENCARGOS COMPLEMENTARES</v>
      </c>
      <c r="D18" s="129" t="str">
        <f ca="1">IF(OFFSET(PO!O$12,ROW(D18)-ROW(D$12),0)=0,"",OFFSET(PO!O$12,ROW(D18)-ROW(D$12),0))</f>
        <v>MES</v>
      </c>
      <c r="E18" s="165">
        <f ca="1">IF($A18&lt;&gt;"Serviço",0,ROUND(SUMIF($F$9:$P$9,"&lt;&gt;",$F18:$P18),15-13*PO!$X$3))</f>
        <v>2</v>
      </c>
      <c r="F18" s="400">
        <f ca="1">OFFSET(PO!$P$12,ROW($E18)-ROW(F$12),0)</f>
        <v>2</v>
      </c>
      <c r="G18" s="400"/>
      <c r="H18" s="400"/>
      <c r="I18" s="400"/>
      <c r="J18" s="400"/>
      <c r="K18" s="400"/>
      <c r="L18" s="400"/>
      <c r="M18" s="400"/>
      <c r="N18" s="400"/>
      <c r="O18" s="400"/>
      <c r="U18" s="215"/>
    </row>
    <row r="19" spans="1:21" s="4" customFormat="1" x14ac:dyDescent="0.25">
      <c r="A19" s="128" t="str">
        <f ca="1">OFFSET(PO!J$12,ROW(A19)-ROW($A$12),0)</f>
        <v>Meta</v>
      </c>
      <c r="B19" s="130" t="str">
        <f ca="1">IF($A19=0,"",OFFSET(PO!K$12,ROW(B19)-ROW(B$12),0))</f>
        <v>2.</v>
      </c>
      <c r="C19" s="127" t="str">
        <f ca="1">IF(OFFSET(PO!N$12,ROW(C19)-ROW(C$12),0)=0,"",OFFSET(PO!N$12,ROW(C19)-ROW(C$12),0))</f>
        <v>TERRAPLENAGEM</v>
      </c>
      <c r="D19" s="129" t="str">
        <f ca="1">IF(OFFSET(PO!O$12,ROW(D19)-ROW(D$12),0)=0,"",OFFSET(PO!O$12,ROW(D19)-ROW(D$12),0))</f>
        <v/>
      </c>
      <c r="E19" s="165">
        <f ca="1">IF($A19&lt;&gt;"Serviço",0,ROUND(SUMIF($F$9:$P$9,"&lt;&gt;",$F19:$P19),15-13*PO!$X$3))</f>
        <v>0</v>
      </c>
      <c r="F19" s="400">
        <f ca="1">OFFSET(PO!$P$12,ROW($E19)-ROW(F$12),0)</f>
        <v>0</v>
      </c>
      <c r="G19" s="400"/>
      <c r="H19" s="400"/>
      <c r="I19" s="400"/>
      <c r="J19" s="400"/>
      <c r="K19" s="400"/>
      <c r="L19" s="400"/>
      <c r="M19" s="400"/>
      <c r="N19" s="400"/>
      <c r="O19" s="400"/>
      <c r="U19" s="215"/>
    </row>
    <row r="20" spans="1:21" s="4" customFormat="1" ht="52.8" x14ac:dyDescent="0.25">
      <c r="A20" s="128" t="str">
        <f ca="1">OFFSET(PO!J$12,ROW(A20)-ROW($A$12),0)</f>
        <v>Serviço</v>
      </c>
      <c r="B20" s="130" t="str">
        <f ca="1">IF($A20=0,"",OFFSET(PO!K$12,ROW(B20)-ROW(B$12),0))</f>
        <v>2.1.</v>
      </c>
      <c r="C20" s="127" t="str">
        <f ca="1">IF(OFFSET(PO!N$12,ROW(C20)-ROW(C$12),0)=0,"",OFFSET(PO!N$12,ROW(C20)-ROW(C$12),0))</f>
        <v>ESCAVAÇÃO, CARGA E TRANSPORTE DE MATERIAL DE 1ª CATEGORIA - DMT DE 1.000 A 1.200 M - CAMINHO DE SERVIÇO EM LEITO NATURAL - COM ESCAVADEIRA E CAMINHÃO BASCULANTE DE 14 M3</v>
      </c>
      <c r="D20" s="129" t="str">
        <f ca="1">IF(OFFSET(PO!O$12,ROW(D20)-ROW(D$12),0)=0,"",OFFSET(PO!O$12,ROW(D20)-ROW(D$12),0))</f>
        <v>M3</v>
      </c>
      <c r="E20" s="165">
        <f ca="1">IF($A20&lt;&gt;"Serviço",0,ROUND(SUMIF($F$9:$P$9,"&lt;&gt;",$F20:$P20),15-13*PO!$X$3))</f>
        <v>6000</v>
      </c>
      <c r="F20" s="400">
        <f ca="1">OFFSET(PO!$P$12,ROW($E20)-ROW(F$12),0)</f>
        <v>6000</v>
      </c>
      <c r="G20" s="400"/>
      <c r="H20" s="400"/>
      <c r="I20" s="400"/>
      <c r="J20" s="400"/>
      <c r="K20" s="400"/>
      <c r="L20" s="400"/>
      <c r="M20" s="400"/>
      <c r="N20" s="400"/>
      <c r="O20" s="400"/>
      <c r="U20" s="215"/>
    </row>
    <row r="21" spans="1:21" s="4" customFormat="1" ht="52.8" x14ac:dyDescent="0.25">
      <c r="A21" s="128" t="str">
        <f ca="1">OFFSET(PO!J$12,ROW(A21)-ROW($A$12),0)</f>
        <v>Serviço</v>
      </c>
      <c r="B21" s="130" t="str">
        <f ca="1">IF($A21=0,"",OFFSET(PO!K$12,ROW(B21)-ROW(B$12),0))</f>
        <v>2.2.</v>
      </c>
      <c r="C21" s="127" t="str">
        <f ca="1">IF(OFFSET(PO!N$12,ROW(C21)-ROW(C$12),0)=0,"",OFFSET(PO!N$12,ROW(C21)-ROW(C$12),0))</f>
        <v>ESCAVAÇÃO, CARGA E TRANSPORTE DE MATERIAL DE 2ª CATEGORIA - DMT DE 1.000 A 1.200 M - CAMINHO DE SERVIÇO EM LEITO NATURAL - COM ESCAVADEIRA E CAMINHÃO BASCULANTE DE 14 M3</v>
      </c>
      <c r="D21" s="129" t="str">
        <f ca="1">IF(OFFSET(PO!O$12,ROW(D21)-ROW(D$12),0)=0,"",OFFSET(PO!O$12,ROW(D21)-ROW(D$12),0))</f>
        <v>M3</v>
      </c>
      <c r="E21" s="165">
        <f ca="1">IF($A21&lt;&gt;"Serviço",0,ROUND(SUMIF($F$9:$P$9,"&lt;&gt;",$F21:$P21),15-13*PO!$X$3))</f>
        <v>3000</v>
      </c>
      <c r="F21" s="400">
        <f ca="1">OFFSET(PO!$P$12,ROW($E21)-ROW(F$12),0)</f>
        <v>3000</v>
      </c>
      <c r="G21" s="400"/>
      <c r="H21" s="400"/>
      <c r="I21" s="400"/>
      <c r="J21" s="400"/>
      <c r="K21" s="400"/>
      <c r="L21" s="400"/>
      <c r="M21" s="400"/>
      <c r="N21" s="400"/>
      <c r="O21" s="400"/>
      <c r="U21" s="215"/>
    </row>
    <row r="22" spans="1:21" s="4" customFormat="1" ht="26.4" x14ac:dyDescent="0.25">
      <c r="A22" s="128" t="str">
        <f ca="1">OFFSET(PO!J$12,ROW(A22)-ROW($A$12),0)</f>
        <v>Serviço</v>
      </c>
      <c r="B22" s="130" t="str">
        <f ca="1">IF($A22=0,"",OFFSET(PO!K$12,ROW(B22)-ROW(B$12),0))</f>
        <v>2.3.</v>
      </c>
      <c r="C22" s="127" t="str">
        <f ca="1">IF(OFFSET(PO!N$12,ROW(C22)-ROW(C$12),0)=0,"",OFFSET(PO!N$12,ROW(C22)-ROW(C$12),0))</f>
        <v>DESMONTE DE BLOCOS DE ROCHA COM MARTELETE PNEUMÁTICO</v>
      </c>
      <c r="D22" s="129" t="str">
        <f ca="1">IF(OFFSET(PO!O$12,ROW(D22)-ROW(D$12),0)=0,"",OFFSET(PO!O$12,ROW(D22)-ROW(D$12),0))</f>
        <v>M3</v>
      </c>
      <c r="E22" s="165">
        <f ca="1">IF($A22&lt;&gt;"Serviço",0,ROUND(SUMIF($F$9:$P$9,"&lt;&gt;",$F22:$P22),15-13*PO!$X$3))</f>
        <v>1500</v>
      </c>
      <c r="F22" s="400">
        <f ca="1">OFFSET(PO!$P$12,ROW($E22)-ROW(F$12),0)</f>
        <v>1500</v>
      </c>
      <c r="G22" s="400"/>
      <c r="H22" s="400"/>
      <c r="I22" s="400"/>
      <c r="J22" s="400"/>
      <c r="K22" s="400"/>
      <c r="L22" s="400"/>
      <c r="M22" s="400"/>
      <c r="N22" s="400"/>
      <c r="O22" s="400"/>
      <c r="U22" s="215"/>
    </row>
    <row r="23" spans="1:21" s="4" customFormat="1" ht="39.6" x14ac:dyDescent="0.25">
      <c r="A23" s="128" t="str">
        <f ca="1">OFFSET(PO!J$12,ROW(A23)-ROW($A$12),0)</f>
        <v>Serviço</v>
      </c>
      <c r="B23" s="130" t="str">
        <f ca="1">IF($A23=0,"",OFFSET(PO!K$12,ROW(B23)-ROW(B$12),0))</f>
        <v>2.4.</v>
      </c>
      <c r="C23" s="127" t="str">
        <f ca="1">IF(OFFSET(PO!N$12,ROW(C23)-ROW(C$12),0)=0,"",OFFSET(PO!N$12,ROW(C23)-ROW(C$12),0))</f>
        <v>ESCAVAÇÃO, CARGA E TRANSPORTE DE MATERIAL DE 3ª CATEGORIA - DMT DE 1.000 A 1.200 M - CAMINHO DE SERVIÇO EM LEITO NATURAL COM CAMINHÃO BASCULANTE DE 12 M3</v>
      </c>
      <c r="D23" s="129" t="str">
        <f ca="1">IF(OFFSET(PO!O$12,ROW(D23)-ROW(D$12),0)=0,"",OFFSET(PO!O$12,ROW(D23)-ROW(D$12),0))</f>
        <v>M3</v>
      </c>
      <c r="E23" s="165">
        <f ca="1">IF($A23&lt;&gt;"Serviço",0,ROUND(SUMIF($F$9:$P$9,"&lt;&gt;",$F23:$P23),15-13*PO!$X$3))</f>
        <v>1500</v>
      </c>
      <c r="F23" s="400">
        <f ca="1">OFFSET(PO!$P$12,ROW($E23)-ROW(F$12),0)</f>
        <v>1500</v>
      </c>
      <c r="G23" s="400"/>
      <c r="H23" s="400"/>
      <c r="I23" s="400"/>
      <c r="J23" s="400"/>
      <c r="K23" s="400"/>
      <c r="L23" s="400"/>
      <c r="M23" s="400"/>
      <c r="N23" s="400"/>
      <c r="O23" s="400"/>
      <c r="U23" s="215"/>
    </row>
    <row r="24" spans="1:21" s="4" customFormat="1" x14ac:dyDescent="0.25">
      <c r="A24" s="128" t="str">
        <f ca="1">OFFSET(PO!J$12,ROW(A24)-ROW($A$12),0)</f>
        <v>Serviço</v>
      </c>
      <c r="B24" s="130" t="str">
        <f ca="1">IF($A24=0,"",OFFSET(PO!K$12,ROW(B24)-ROW(B$12),0))</f>
        <v>2.5.</v>
      </c>
      <c r="C24" s="127" t="str">
        <f ca="1">IF(OFFSET(PO!N$12,ROW(C24)-ROW(C$12),0)=0,"",OFFSET(PO!N$12,ROW(C24)-ROW(C$12),0))</f>
        <v>ESPALHAMENTO DE MATERIAL EM BOTA-FORA</v>
      </c>
      <c r="D24" s="129" t="str">
        <f ca="1">IF(OFFSET(PO!O$12,ROW(D24)-ROW(D$12),0)=0,"",OFFSET(PO!O$12,ROW(D24)-ROW(D$12),0))</f>
        <v>M3</v>
      </c>
      <c r="E24" s="165">
        <f ca="1">IF($A24&lt;&gt;"Serviço",0,ROUND(SUMIF($F$9:$P$9,"&lt;&gt;",$F24:$P24),15-13*PO!$X$3))</f>
        <v>10500</v>
      </c>
      <c r="F24" s="400">
        <f ca="1">OFFSET(PO!$P$12,ROW($E24)-ROW(F$12),0)</f>
        <v>10500</v>
      </c>
      <c r="G24" s="400"/>
      <c r="H24" s="400"/>
      <c r="I24" s="400"/>
      <c r="J24" s="400"/>
      <c r="K24" s="400"/>
      <c r="L24" s="400"/>
      <c r="M24" s="400"/>
      <c r="N24" s="400"/>
      <c r="O24" s="400"/>
      <c r="U24" s="215"/>
    </row>
    <row r="25" spans="1:21" s="4" customFormat="1" x14ac:dyDescent="0.25">
      <c r="A25" s="128" t="str">
        <f ca="1">OFFSET(PO!J$12,ROW(A25)-ROW($A$12),0)</f>
        <v>Serviço</v>
      </c>
      <c r="B25" s="130" t="str">
        <f ca="1">IF($A25=0,"",OFFSET(PO!K$12,ROW(B25)-ROW(B$12),0))</f>
        <v>2.6.</v>
      </c>
      <c r="C25" s="127" t="str">
        <f ca="1">IF(OFFSET(PO!N$12,ROW(C25)-ROW(C$12),0)=0,"",OFFSET(PO!N$12,ROW(C25)-ROW(C$12),0))</f>
        <v>COMPACTAÇÃO DE ATERROS A 100% DO PROCTOR NORMAL</v>
      </c>
      <c r="D25" s="129" t="str">
        <f ca="1">IF(OFFSET(PO!O$12,ROW(D25)-ROW(D$12),0)=0,"",OFFSET(PO!O$12,ROW(D25)-ROW(D$12),0))</f>
        <v>M3</v>
      </c>
      <c r="E25" s="165">
        <f ca="1">IF($A25&lt;&gt;"Serviço",0,ROUND(SUMIF($F$9:$P$9,"&lt;&gt;",$F25:$P25),15-13*PO!$X$3))</f>
        <v>6000</v>
      </c>
      <c r="F25" s="400">
        <f ca="1">OFFSET(PO!$P$12,ROW($E25)-ROW(F$12),0)</f>
        <v>6000</v>
      </c>
      <c r="G25" s="400"/>
      <c r="H25" s="400"/>
      <c r="I25" s="400"/>
      <c r="J25" s="400"/>
      <c r="K25" s="400"/>
      <c r="L25" s="400"/>
      <c r="M25" s="400"/>
      <c r="N25" s="400"/>
      <c r="O25" s="400"/>
      <c r="U25" s="215"/>
    </row>
    <row r="26" spans="1:21" s="4" customFormat="1" ht="26.4" x14ac:dyDescent="0.25">
      <c r="A26" s="128" t="str">
        <f ca="1">OFFSET(PO!J$12,ROW(A26)-ROW($A$12),0)</f>
        <v>Serviço</v>
      </c>
      <c r="B26" s="130" t="str">
        <f ca="1">IF($A26=0,"",OFFSET(PO!K$12,ROW(B26)-ROW(B$12),0))</f>
        <v>2.7.</v>
      </c>
      <c r="C26" s="127" t="str">
        <f ca="1">IF(OFFSET(PO!N$12,ROW(C26)-ROW(C$12),0)=0,"",OFFSET(PO!N$12,ROW(C26)-ROW(C$12),0))</f>
        <v>COMPACTAÇÃO DE ATERROS A 100% DO PROCTOR INTERMEDIÁRI0</v>
      </c>
      <c r="D26" s="129" t="str">
        <f ca="1">IF(OFFSET(PO!O$12,ROW(D26)-ROW(D$12),0)=0,"",OFFSET(PO!O$12,ROW(D26)-ROW(D$12),0))</f>
        <v>M3</v>
      </c>
      <c r="E26" s="165">
        <f ca="1">IF($A26&lt;&gt;"Serviço",0,ROUND(SUMIF($F$9:$P$9,"&lt;&gt;",$F26:$P26),15-13*PO!$X$3))</f>
        <v>3000</v>
      </c>
      <c r="F26" s="400">
        <f ca="1">OFFSET(PO!$P$12,ROW($E26)-ROW(F$12),0)</f>
        <v>3000</v>
      </c>
      <c r="G26" s="400"/>
      <c r="H26" s="400"/>
      <c r="I26" s="400"/>
      <c r="J26" s="400"/>
      <c r="K26" s="400"/>
      <c r="L26" s="400"/>
      <c r="M26" s="400"/>
      <c r="N26" s="400"/>
      <c r="O26" s="400"/>
      <c r="U26" s="215"/>
    </row>
    <row r="27" spans="1:21" s="4" customFormat="1" x14ac:dyDescent="0.25">
      <c r="A27" s="128" t="str">
        <f ca="1">OFFSET(PO!J$12,ROW(A27)-ROW($A$12),0)</f>
        <v>Serviço</v>
      </c>
      <c r="B27" s="130" t="str">
        <f ca="1">IF($A27=0,"",OFFSET(PO!K$12,ROW(B27)-ROW(B$12),0))</f>
        <v>2.8.</v>
      </c>
      <c r="C27" s="127" t="str">
        <f ca="1">IF(OFFSET(PO!N$12,ROW(C27)-ROW(C$12),0)=0,"",OFFSET(PO!N$12,ROW(C27)-ROW(C$12),0))</f>
        <v>COMPACTAÇÃO DE CAMADA FINAL DE ATERRO DE ROCHA</v>
      </c>
      <c r="D27" s="129" t="str">
        <f ca="1">IF(OFFSET(PO!O$12,ROW(D27)-ROW(D$12),0)=0,"",OFFSET(PO!O$12,ROW(D27)-ROW(D$12),0))</f>
        <v>M3</v>
      </c>
      <c r="E27" s="165">
        <f ca="1">IF($A27&lt;&gt;"Serviço",0,ROUND(SUMIF($F$9:$P$9,"&lt;&gt;",$F27:$P27),15-13*PO!$X$3))</f>
        <v>1500</v>
      </c>
      <c r="F27" s="400">
        <f ca="1">OFFSET(PO!$P$12,ROW($E27)-ROW(F$12),0)</f>
        <v>1500</v>
      </c>
      <c r="G27" s="400"/>
      <c r="H27" s="400"/>
      <c r="I27" s="400"/>
      <c r="J27" s="400"/>
      <c r="K27" s="400"/>
      <c r="L27" s="400"/>
      <c r="M27" s="400"/>
      <c r="N27" s="400"/>
      <c r="O27" s="400"/>
      <c r="U27" s="215"/>
    </row>
    <row r="28" spans="1:21" s="4" customFormat="1" x14ac:dyDescent="0.25">
      <c r="A28" s="128" t="str">
        <f ca="1">OFFSET(PO!J$12,ROW(A28)-ROW($A$12),0)</f>
        <v>Meta</v>
      </c>
      <c r="B28" s="130" t="str">
        <f ca="1">IF($A28=0,"",OFFSET(PO!K$12,ROW(B28)-ROW(B$12),0))</f>
        <v>3.</v>
      </c>
      <c r="C28" s="127" t="str">
        <f ca="1">IF(OFFSET(PO!N$12,ROW(C28)-ROW(C$12),0)=0,"",OFFSET(PO!N$12,ROW(C28)-ROW(C$12),0))</f>
        <v>DRENAGEM</v>
      </c>
      <c r="D28" s="129" t="str">
        <f ca="1">IF(OFFSET(PO!O$12,ROW(D28)-ROW(D$12),0)=0,"",OFFSET(PO!O$12,ROW(D28)-ROW(D$12),0))</f>
        <v/>
      </c>
      <c r="E28" s="165">
        <f ca="1">IF($A28&lt;&gt;"Serviço",0,ROUND(SUMIF($F$9:$P$9,"&lt;&gt;",$F28:$P28),15-13*PO!$X$3))</f>
        <v>0</v>
      </c>
      <c r="F28" s="400">
        <f ca="1">OFFSET(PO!$P$12,ROW($E28)-ROW(F$12),0)</f>
        <v>0</v>
      </c>
      <c r="G28" s="400"/>
      <c r="H28" s="400"/>
      <c r="I28" s="400"/>
      <c r="J28" s="400"/>
      <c r="K28" s="400"/>
      <c r="L28" s="400"/>
      <c r="M28" s="400"/>
      <c r="N28" s="400"/>
      <c r="O28" s="400"/>
      <c r="U28" s="215"/>
    </row>
    <row r="29" spans="1:21" s="4" customFormat="1" ht="66" x14ac:dyDescent="0.25">
      <c r="A29" s="128" t="str">
        <f ca="1">OFFSET(PO!J$12,ROW(A29)-ROW($A$12),0)</f>
        <v>Serviço</v>
      </c>
      <c r="B29" s="130" t="str">
        <f ca="1">IF($A29=0,"",OFFSET(PO!K$12,ROW(B29)-ROW(B$12),0))</f>
        <v>3.1.</v>
      </c>
      <c r="C29" s="127" t="str">
        <f ca="1">IF(OFFSET(PO!N$12,ROW(C29)-ROW(C$12),0)=0,"",OFFSET(PO!N$12,ROW(C29)-ROW(C$12),0))</f>
        <v>ESCAVAÇÃO MECANIZADA DE VALA COM PROF. ATÉ 1,5 M (MÉDIA MONTANTE E JUSANTE/UMA COMPOSIÇÃO POR TRECHO),COM ESCAVADEIRA (0,8 M3), LARG. MENOR QUE 1,5 M, EM SOLO DE 2A CATEGORIA, LOCAIS COM BAIXO NÍVEL DE INTERFERÊNCIA. AF_02/2021</v>
      </c>
      <c r="D29" s="129" t="str">
        <f ca="1">IF(OFFSET(PO!O$12,ROW(D29)-ROW(D$12),0)=0,"",OFFSET(PO!O$12,ROW(D29)-ROW(D$12),0))</f>
        <v>M3</v>
      </c>
      <c r="E29" s="165">
        <f ca="1">IF($A29&lt;&gt;"Serviço",0,ROUND(SUMIF($F$9:$P$9,"&lt;&gt;",$F29:$P29),15-13*PO!$X$3))</f>
        <v>8408.25</v>
      </c>
      <c r="F29" s="400">
        <f ca="1">OFFSET(PO!$P$12,ROW($E29)-ROW(F$12),0)</f>
        <v>8408.25</v>
      </c>
      <c r="G29" s="400"/>
      <c r="H29" s="400"/>
      <c r="I29" s="400"/>
      <c r="J29" s="400"/>
      <c r="K29" s="400"/>
      <c r="L29" s="400"/>
      <c r="M29" s="400"/>
      <c r="N29" s="400"/>
      <c r="O29" s="400"/>
      <c r="U29" s="215"/>
    </row>
    <row r="30" spans="1:21" s="4" customFormat="1" ht="52.8" x14ac:dyDescent="0.25">
      <c r="A30" s="128" t="str">
        <f ca="1">OFFSET(PO!J$12,ROW(A30)-ROW($A$12),0)</f>
        <v>Serviço</v>
      </c>
      <c r="B30" s="130" t="str">
        <f ca="1">IF($A30=0,"",OFFSET(PO!K$12,ROW(B30)-ROW(B$12),0))</f>
        <v>3.2.</v>
      </c>
      <c r="C30" s="127" t="str">
        <f ca="1">IF(OFFSET(PO!N$12,ROW(C30)-ROW(C$12),0)=0,"",OFFSET(PO!N$12,ROW(C30)-ROW(C$12),0))</f>
        <v>DESMONTE DE MATERIAL DE 3ª CATEGORIA (BLOCOS DE ROCHAS OU MATACOS), EM VALA, COM MARTELETE PNEUMÁTICO MANUAL   EXCLUSIVE RETIRADA, CARGA E TRANSPORTE. AF_03/2021</v>
      </c>
      <c r="D30" s="129" t="str">
        <f ca="1">IF(OFFSET(PO!O$12,ROW(D30)-ROW(D$12),0)=0,"",OFFSET(PO!O$12,ROW(D30)-ROW(D$12),0))</f>
        <v>M3</v>
      </c>
      <c r="E30" s="165">
        <f ca="1">IF($A30&lt;&gt;"Serviço",0,ROUND(SUMIF($F$9:$P$9,"&lt;&gt;",$F30:$P30),15-13*PO!$X$3))</f>
        <v>147</v>
      </c>
      <c r="F30" s="400">
        <f ca="1">OFFSET(PO!$P$12,ROW($E30)-ROW(F$12),0)</f>
        <v>147</v>
      </c>
      <c r="G30" s="400"/>
      <c r="H30" s="400"/>
      <c r="I30" s="400"/>
      <c r="J30" s="400"/>
      <c r="K30" s="400"/>
      <c r="L30" s="400"/>
      <c r="M30" s="400"/>
      <c r="N30" s="400"/>
      <c r="O30" s="400"/>
      <c r="U30" s="215"/>
    </row>
    <row r="31" spans="1:21" s="4" customFormat="1" ht="26.4" x14ac:dyDescent="0.25">
      <c r="A31" s="128" t="str">
        <f ca="1">OFFSET(PO!J$12,ROW(A31)-ROW($A$12),0)</f>
        <v>Serviço</v>
      </c>
      <c r="B31" s="130" t="str">
        <f ca="1">IF($A31=0,"",OFFSET(PO!K$12,ROW(B31)-ROW(B$12),0))</f>
        <v>3.3.</v>
      </c>
      <c r="C31" s="127" t="str">
        <f ca="1">IF(OFFSET(PO!N$12,ROW(C31)-ROW(C$12),0)=0,"",OFFSET(PO!N$12,ROW(C31)-ROW(C$12),0))</f>
        <v>BOCA DE BSTC D= 0,80 m - ESCONSIDADE 0° - AREIA E BRITA COMERCIAIS - ALAS RETAS</v>
      </c>
      <c r="D31" s="129" t="str">
        <f ca="1">IF(OFFSET(PO!O$12,ROW(D31)-ROW(D$12),0)=0,"",OFFSET(PO!O$12,ROW(D31)-ROW(D$12),0))</f>
        <v>UNID</v>
      </c>
      <c r="E31" s="165">
        <f ca="1">IF($A31&lt;&gt;"Serviço",0,ROUND(SUMIF($F$9:$P$9,"&lt;&gt;",$F31:$P31),15-13*PO!$X$3))</f>
        <v>4</v>
      </c>
      <c r="F31" s="400">
        <f ca="1">OFFSET(PO!$P$12,ROW($E31)-ROW(F$12),0)</f>
        <v>4</v>
      </c>
      <c r="G31" s="400"/>
      <c r="H31" s="400"/>
      <c r="I31" s="400"/>
      <c r="J31" s="400"/>
      <c r="K31" s="400"/>
      <c r="L31" s="400"/>
      <c r="M31" s="400"/>
      <c r="N31" s="400"/>
      <c r="O31" s="400"/>
      <c r="U31" s="215"/>
    </row>
    <row r="32" spans="1:21" s="4" customFormat="1" ht="52.8" x14ac:dyDescent="0.25">
      <c r="A32" s="128" t="str">
        <f ca="1">OFFSET(PO!J$12,ROW(A32)-ROW($A$12),0)</f>
        <v>Serviço</v>
      </c>
      <c r="B32" s="130" t="str">
        <f ca="1">IF($A32=0,"",OFFSET(PO!K$12,ROW(B32)-ROW(B$12),0))</f>
        <v>3.4.</v>
      </c>
      <c r="C32" s="127" t="str">
        <f ca="1">IF(OFFSET(PO!N$12,ROW(C32)-ROW(C$12),0)=0,"",OFFSET(PO!N$12,ROW(C32)-ROW(C$12),0))</f>
        <v>TUBO DE CONCRETO PARA REDES COLETORAS DE ÁGUAS PLUVIAIS, DIÂMETRO DE 800 MM, JUNTA RÍGIDA, INSTALADO EM LOCAL COM BAIXO NÍVEL DE INTERFERÊNCIAS - FORNECIMENTO E ASSENTAMENTO. AF_12/2015</v>
      </c>
      <c r="D32" s="129" t="str">
        <f ca="1">IF(OFFSET(PO!O$12,ROW(D32)-ROW(D$12),0)=0,"",OFFSET(PO!O$12,ROW(D32)-ROW(D$12),0))</f>
        <v>M</v>
      </c>
      <c r="E32" s="165">
        <f ca="1">IF($A32&lt;&gt;"Serviço",0,ROUND(SUMIF($F$9:$P$9,"&lt;&gt;",$F32:$P32),15-13*PO!$X$3))</f>
        <v>48</v>
      </c>
      <c r="F32" s="400">
        <f ca="1">OFFSET(PO!$P$12,ROW($E32)-ROW(F$12),0)</f>
        <v>48</v>
      </c>
      <c r="G32" s="400"/>
      <c r="H32" s="400"/>
      <c r="I32" s="400"/>
      <c r="J32" s="400"/>
      <c r="K32" s="400"/>
      <c r="L32" s="400"/>
      <c r="M32" s="400"/>
      <c r="N32" s="400"/>
      <c r="O32" s="400"/>
      <c r="U32" s="215"/>
    </row>
    <row r="33" spans="1:21" s="4" customFormat="1" x14ac:dyDescent="0.25">
      <c r="A33" s="128" t="str">
        <f ca="1">OFFSET(PO!J$12,ROW(A33)-ROW($A$12),0)</f>
        <v>Serviço</v>
      </c>
      <c r="B33" s="130" t="str">
        <f ca="1">IF($A33=0,"",OFFSET(PO!K$12,ROW(B33)-ROW(B$12),0))</f>
        <v>3.5.</v>
      </c>
      <c r="C33" s="127" t="str">
        <f ca="1">IF(OFFSET(PO!N$12,ROW(C33)-ROW(C$12),0)=0,"",OFFSET(PO!N$12,ROW(C33)-ROW(C$12),0))</f>
        <v>CAIXA COLETORA DE SARJETA-CCS 02-COM GRELHA DE FERRO</v>
      </c>
      <c r="D33" s="129" t="str">
        <f ca="1">IF(OFFSET(PO!O$12,ROW(D33)-ROW(D$12),0)=0,"",OFFSET(PO!O$12,ROW(D33)-ROW(D$12),0))</f>
        <v>UNID</v>
      </c>
      <c r="E33" s="165">
        <f ca="1">IF($A33&lt;&gt;"Serviço",0,ROUND(SUMIF($F$9:$P$9,"&lt;&gt;",$F33:$P33),15-13*PO!$X$3))</f>
        <v>4</v>
      </c>
      <c r="F33" s="400">
        <f ca="1">OFFSET(PO!$P$12,ROW($E33)-ROW(F$12),0)</f>
        <v>4</v>
      </c>
      <c r="G33" s="400"/>
      <c r="H33" s="400"/>
      <c r="I33" s="400"/>
      <c r="J33" s="400"/>
      <c r="K33" s="400"/>
      <c r="L33" s="400"/>
      <c r="M33" s="400"/>
      <c r="N33" s="400"/>
      <c r="O33" s="400"/>
      <c r="U33" s="215"/>
    </row>
    <row r="34" spans="1:21" s="4" customFormat="1" ht="26.4" x14ac:dyDescent="0.25">
      <c r="A34" s="128" t="str">
        <f ca="1">OFFSET(PO!J$12,ROW(A34)-ROW($A$12),0)</f>
        <v>Serviço</v>
      </c>
      <c r="B34" s="130" t="str">
        <f ca="1">IF($A34=0,"",OFFSET(PO!K$12,ROW(B34)-ROW(B$12),0))</f>
        <v>3.6.</v>
      </c>
      <c r="C34" s="127" t="str">
        <f ca="1">IF(OFFSET(PO!N$12,ROW(C34)-ROW(C$12),0)=0,"",OFFSET(PO!N$12,ROW(C34)-ROW(C$12),0))</f>
        <v>VALETA DE PROTEÇÃO DE ATERROS COM REVESTIMENTO VEGETAL - VPA 02 - ESCAVAÇÃO MECÂNICA</v>
      </c>
      <c r="D34" s="129" t="str">
        <f ca="1">IF(OFFSET(PO!O$12,ROW(D34)-ROW(D$12),0)=0,"",OFFSET(PO!O$12,ROW(D34)-ROW(D$12),0))</f>
        <v>M</v>
      </c>
      <c r="E34" s="165">
        <f ca="1">IF($A34&lt;&gt;"Serviço",0,ROUND(SUMIF($F$9:$P$9,"&lt;&gt;",$F34:$P34),15-13*PO!$X$3))</f>
        <v>75</v>
      </c>
      <c r="F34" s="400">
        <f ca="1">OFFSET(PO!$P$12,ROW($E34)-ROW(F$12),0)</f>
        <v>75</v>
      </c>
      <c r="G34" s="400"/>
      <c r="H34" s="400"/>
      <c r="I34" s="400"/>
      <c r="J34" s="400"/>
      <c r="K34" s="400"/>
      <c r="L34" s="400"/>
      <c r="M34" s="400"/>
      <c r="N34" s="400"/>
      <c r="O34" s="400"/>
      <c r="U34" s="215"/>
    </row>
    <row r="35" spans="1:21" s="4" customFormat="1" ht="26.4" x14ac:dyDescent="0.25">
      <c r="A35" s="128" t="str">
        <f ca="1">OFFSET(PO!J$12,ROW(A35)-ROW($A$12),0)</f>
        <v>Serviço</v>
      </c>
      <c r="B35" s="130" t="str">
        <f ca="1">IF($A35=0,"",OFFSET(PO!K$12,ROW(B35)-ROW(B$12),0))</f>
        <v>3.7.</v>
      </c>
      <c r="C35" s="127" t="str">
        <f ca="1">IF(OFFSET(PO!N$12,ROW(C35)-ROW(C$12),0)=0,"",OFFSET(PO!N$12,ROW(C35)-ROW(C$12),0))</f>
        <v>VALETA DE DE PROTEÇÃO DE CORTES COM REVESTIMENTO VEGETAL - VPC 02 - ESCAVAÇÃO MECÂNICA</v>
      </c>
      <c r="D35" s="129" t="str">
        <f ca="1">IF(OFFSET(PO!O$12,ROW(D35)-ROW(D$12),0)=0,"",OFFSET(PO!O$12,ROW(D35)-ROW(D$12),0))</f>
        <v>M</v>
      </c>
      <c r="E35" s="165">
        <f ca="1">IF($A35&lt;&gt;"Serviço",0,ROUND(SUMIF($F$9:$P$9,"&lt;&gt;",$F35:$P35),15-13*PO!$X$3))</f>
        <v>75</v>
      </c>
      <c r="F35" s="400">
        <f ca="1">OFFSET(PO!$P$12,ROW($E35)-ROW(F$12),0)</f>
        <v>75</v>
      </c>
      <c r="G35" s="400"/>
      <c r="H35" s="400"/>
      <c r="I35" s="400"/>
      <c r="J35" s="400"/>
      <c r="K35" s="400"/>
      <c r="L35" s="400"/>
      <c r="M35" s="400"/>
      <c r="N35" s="400"/>
      <c r="O35" s="400"/>
      <c r="U35" s="215"/>
    </row>
    <row r="36" spans="1:21" s="4" customFormat="1" ht="26.4" x14ac:dyDescent="0.25">
      <c r="A36" s="128" t="str">
        <f ca="1">OFFSET(PO!J$12,ROW(A36)-ROW($A$12),0)</f>
        <v>Serviço</v>
      </c>
      <c r="B36" s="130" t="str">
        <f ca="1">IF($A36=0,"",OFFSET(PO!K$12,ROW(B36)-ROW(B$12),0))</f>
        <v>3.8.</v>
      </c>
      <c r="C36" s="127" t="str">
        <f ca="1">IF(OFFSET(PO!N$12,ROW(C36)-ROW(C$12),0)=0,"",OFFSET(PO!N$12,ROW(C36)-ROW(C$12),0))</f>
        <v>BOCA DE BTCC 3,00 X 3,00 m - ESCONSIDADE 0° - AREIA E BRITA COMERCIAIS</v>
      </c>
      <c r="D36" s="129" t="str">
        <f ca="1">IF(OFFSET(PO!O$12,ROW(D36)-ROW(D$12),0)=0,"",OFFSET(PO!O$12,ROW(D36)-ROW(D$12),0))</f>
        <v>UNID</v>
      </c>
      <c r="E36" s="165">
        <f ca="1">IF($A36&lt;&gt;"Serviço",0,ROUND(SUMIF($F$9:$P$9,"&lt;&gt;",$F36:$P36),15-13*PO!$X$3))</f>
        <v>1</v>
      </c>
      <c r="F36" s="400">
        <f ca="1">OFFSET(PO!$P$12,ROW($E36)-ROW(F$12),0)</f>
        <v>1</v>
      </c>
      <c r="G36" s="400"/>
      <c r="H36" s="400"/>
      <c r="I36" s="400"/>
      <c r="J36" s="400"/>
      <c r="K36" s="400"/>
      <c r="L36" s="400"/>
      <c r="M36" s="400"/>
      <c r="N36" s="400"/>
      <c r="O36" s="400"/>
      <c r="U36" s="215"/>
    </row>
    <row r="37" spans="1:21" s="4" customFormat="1" ht="26.4" x14ac:dyDescent="0.25">
      <c r="A37" s="128" t="str">
        <f ca="1">OFFSET(PO!J$12,ROW(A37)-ROW($A$12),0)</f>
        <v>Serviço</v>
      </c>
      <c r="B37" s="130" t="str">
        <f ca="1">IF($A37=0,"",OFFSET(PO!K$12,ROW(B37)-ROW(B$12),0))</f>
        <v>3.9.</v>
      </c>
      <c r="C37" s="127" t="str">
        <f ca="1">IF(OFFSET(PO!N$12,ROW(C37)-ROW(C$12),0)=0,"",OFFSET(PO!N$12,ROW(C37)-ROW(C$12),0))</f>
        <v>REGULARIZAÇÃO E COMPACTAÇÃO DE SUBLEITO DE SOLO  PREDOMINANTEMENTE ARGILOSO. AF_11/2019</v>
      </c>
      <c r="D37" s="129" t="str">
        <f ca="1">IF(OFFSET(PO!O$12,ROW(D37)-ROW(D$12),0)=0,"",OFFSET(PO!O$12,ROW(D37)-ROW(D$12),0))</f>
        <v>M2</v>
      </c>
      <c r="E37" s="165">
        <f ca="1">IF($A37&lt;&gt;"Serviço",0,ROUND(SUMIF($F$9:$P$9,"&lt;&gt;",$F37:$P37),15-13*PO!$X$3))</f>
        <v>108</v>
      </c>
      <c r="F37" s="400">
        <f ca="1">OFFSET(PO!$P$12,ROW($E37)-ROW(F$12),0)</f>
        <v>108</v>
      </c>
      <c r="G37" s="400"/>
      <c r="H37" s="400"/>
      <c r="I37" s="400"/>
      <c r="J37" s="400"/>
      <c r="K37" s="400"/>
      <c r="L37" s="400"/>
      <c r="M37" s="400"/>
      <c r="N37" s="400"/>
      <c r="O37" s="400"/>
      <c r="U37" s="215"/>
    </row>
    <row r="38" spans="1:21" s="4" customFormat="1" ht="26.4" x14ac:dyDescent="0.25">
      <c r="A38" s="128" t="str">
        <f ca="1">OFFSET(PO!J$12,ROW(A38)-ROW($A$12),0)</f>
        <v>Serviço</v>
      </c>
      <c r="B38" s="130" t="str">
        <f ca="1">IF($A38=0,"",OFFSET(PO!K$12,ROW(B38)-ROW(B$12),0))</f>
        <v>3.10.</v>
      </c>
      <c r="C38" s="127" t="str">
        <f ca="1">IF(OFFSET(PO!N$12,ROW(C38)-ROW(C$12),0)=0,"",OFFSET(PO!N$12,ROW(C38)-ROW(C$12),0))</f>
        <v>LASTRO DE CONCRETO MAGRO, APLICADO EM PISOS, LAJES SOBRE SOLO OU RADIERS, ESPESSURA DE 5 CM. AF_07/2016</v>
      </c>
      <c r="D38" s="129" t="str">
        <f ca="1">IF(OFFSET(PO!O$12,ROW(D38)-ROW(D$12),0)=0,"",OFFSET(PO!O$12,ROW(D38)-ROW(D$12),0))</f>
        <v>M2</v>
      </c>
      <c r="E38" s="165">
        <f ca="1">IF($A38&lt;&gt;"Serviço",0,ROUND(SUMIF($F$9:$P$9,"&lt;&gt;",$F38:$P38),15-13*PO!$X$3))</f>
        <v>108</v>
      </c>
      <c r="F38" s="400">
        <f ca="1">OFFSET(PO!$P$12,ROW($E38)-ROW(F$12),0)</f>
        <v>108</v>
      </c>
      <c r="G38" s="400"/>
      <c r="H38" s="400"/>
      <c r="I38" s="400"/>
      <c r="J38" s="400"/>
      <c r="K38" s="400"/>
      <c r="L38" s="400"/>
      <c r="M38" s="400"/>
      <c r="N38" s="400"/>
      <c r="O38" s="400"/>
      <c r="U38" s="215"/>
    </row>
    <row r="39" spans="1:21" s="4" customFormat="1" ht="26.4" x14ac:dyDescent="0.25">
      <c r="A39" s="128" t="str">
        <f ca="1">OFFSET(PO!J$12,ROW(A39)-ROW($A$12),0)</f>
        <v>Serviço</v>
      </c>
      <c r="B39" s="130" t="str">
        <f ca="1">IF($A39=0,"",OFFSET(PO!K$12,ROW(B39)-ROW(B$12),0))</f>
        <v>3.11.</v>
      </c>
      <c r="C39" s="127" t="str">
        <f ca="1">IF(OFFSET(PO!N$12,ROW(C39)-ROW(C$12),0)=0,"",OFFSET(PO!N$12,ROW(C39)-ROW(C$12),0))</f>
        <v>CORPO DE BTCC 3,00 X 3,00 m - MOLDADO NO LOCAL - ALTURA DO ATERRO 0,00 A 1,00 m - AREIA E BRITA COMERCIAIS</v>
      </c>
      <c r="D39" s="129" t="str">
        <f ca="1">IF(OFFSET(PO!O$12,ROW(D39)-ROW(D$12),0)=0,"",OFFSET(PO!O$12,ROW(D39)-ROW(D$12),0))</f>
        <v>M</v>
      </c>
      <c r="E39" s="165">
        <f ca="1">IF($A39&lt;&gt;"Serviço",0,ROUND(SUMIF($F$9:$P$9,"&lt;&gt;",$F39:$P39),15-13*PO!$X$3))</f>
        <v>1</v>
      </c>
      <c r="F39" s="400">
        <f ca="1">OFFSET(PO!$P$12,ROW($E39)-ROW(F$12),0)</f>
        <v>1</v>
      </c>
      <c r="G39" s="400"/>
      <c r="H39" s="400"/>
      <c r="I39" s="400"/>
      <c r="J39" s="400"/>
      <c r="K39" s="400"/>
      <c r="L39" s="400"/>
      <c r="M39" s="400"/>
      <c r="N39" s="400"/>
      <c r="O39" s="400"/>
      <c r="U39" s="215"/>
    </row>
    <row r="40" spans="1:21" s="4" customFormat="1" ht="26.4" x14ac:dyDescent="0.25">
      <c r="A40" s="128" t="str">
        <f ca="1">OFFSET(PO!J$12,ROW(A40)-ROW($A$12),0)</f>
        <v>Serviço</v>
      </c>
      <c r="B40" s="130" t="str">
        <f ca="1">IF($A40=0,"",OFFSET(PO!K$12,ROW(B40)-ROW(B$12),0))</f>
        <v>3.12.</v>
      </c>
      <c r="C40" s="127" t="str">
        <f ca="1">IF(OFFSET(PO!N$12,ROW(C40)-ROW(C$12),0)=0,"",OFFSET(PO!N$12,ROW(C40)-ROW(C$12),0))</f>
        <v>EXECUÇÃO DE PAVIMENTO DE CONCRETO ARMADO (PCA), FCK = 30 MPA, ESPESSURA DE 15,0 CM. AF_04/2022</v>
      </c>
      <c r="D40" s="129" t="str">
        <f ca="1">IF(OFFSET(PO!O$12,ROW(D40)-ROW(D$12),0)=0,"",OFFSET(PO!O$12,ROW(D40)-ROW(D$12),0))</f>
        <v>M2</v>
      </c>
      <c r="E40" s="165">
        <f ca="1">IF($A40&lt;&gt;"Serviço",0,ROUND(SUMIF($F$9:$P$9,"&lt;&gt;",$F40:$P40),15-13*PO!$X$3))</f>
        <v>180</v>
      </c>
      <c r="F40" s="400">
        <f ca="1">OFFSET(PO!$P$12,ROW($E40)-ROW(F$12),0)</f>
        <v>180</v>
      </c>
      <c r="G40" s="400"/>
      <c r="H40" s="400"/>
      <c r="I40" s="400"/>
      <c r="J40" s="400"/>
      <c r="K40" s="400"/>
      <c r="L40" s="400"/>
      <c r="M40" s="400"/>
      <c r="N40" s="400"/>
      <c r="O40" s="400"/>
      <c r="U40" s="215"/>
    </row>
    <row r="41" spans="1:21" s="4" customFormat="1" ht="26.4" x14ac:dyDescent="0.25">
      <c r="A41" s="128" t="str">
        <f ca="1">OFFSET(PO!J$12,ROW(A41)-ROW($A$12),0)</f>
        <v>Serviço</v>
      </c>
      <c r="B41" s="130" t="str">
        <f ca="1">IF($A41=0,"",OFFSET(PO!K$12,ROW(B41)-ROW(B$12),0))</f>
        <v>3.13.</v>
      </c>
      <c r="C41" s="127" t="str">
        <f ca="1">IF(OFFSET(PO!N$12,ROW(C41)-ROW(C$12),0)=0,"",OFFSET(PO!N$12,ROW(C41)-ROW(C$12),0))</f>
        <v>SARJETA TRAPEZOIDAL DE GRAMA - SZG 02 - ESCAVAÇÃO MECÂNICA</v>
      </c>
      <c r="D41" s="129" t="str">
        <f ca="1">IF(OFFSET(PO!O$12,ROW(D41)-ROW(D$12),0)=0,"",OFFSET(PO!O$12,ROW(D41)-ROW(D$12),0))</f>
        <v>M</v>
      </c>
      <c r="E41" s="165">
        <f ca="1">IF($A41&lt;&gt;"Serviço",0,ROUND(SUMIF($F$9:$P$9,"&lt;&gt;",$F41:$P41),15-13*PO!$X$3))</f>
        <v>2235</v>
      </c>
      <c r="F41" s="400">
        <f ca="1">OFFSET(PO!$P$12,ROW($E41)-ROW(F$12),0)</f>
        <v>2235</v>
      </c>
      <c r="G41" s="400"/>
      <c r="H41" s="400"/>
      <c r="I41" s="400"/>
      <c r="J41" s="400"/>
      <c r="K41" s="400"/>
      <c r="L41" s="400"/>
      <c r="M41" s="400"/>
      <c r="N41" s="400"/>
      <c r="O41" s="400"/>
      <c r="U41" s="215"/>
    </row>
    <row r="42" spans="1:21" s="4" customFormat="1" ht="26.4" x14ac:dyDescent="0.25">
      <c r="A42" s="128" t="str">
        <f ca="1">OFFSET(PO!J$12,ROW(A42)-ROW($A$12),0)</f>
        <v>Serviço</v>
      </c>
      <c r="B42" s="130" t="str">
        <f ca="1">IF($A42=0,"",OFFSET(PO!K$12,ROW(B42)-ROW(B$12),0))</f>
        <v>3.14.</v>
      </c>
      <c r="C42" s="127" t="str">
        <f ca="1">IF(OFFSET(PO!N$12,ROW(C42)-ROW(C$12),0)=0,"",OFFSET(PO!N$12,ROW(C42)-ROW(C$12),0))</f>
        <v>DRENO LONGITUDINAL PROFUNDO PARA CORTE EM SOLO - DPS 05 - DRENO CEGO - BRITA COMERCIAL</v>
      </c>
      <c r="D42" s="129" t="str">
        <f ca="1">IF(OFFSET(PO!O$12,ROW(D42)-ROW(D$12),0)=0,"",OFFSET(PO!O$12,ROW(D42)-ROW(D$12),0))</f>
        <v>M</v>
      </c>
      <c r="E42" s="165">
        <f ca="1">IF($A42&lt;&gt;"Serviço",0,ROUND(SUMIF($F$9:$P$9,"&lt;&gt;",$F42:$P42),15-13*PO!$X$3))</f>
        <v>360</v>
      </c>
      <c r="F42" s="400">
        <f ca="1">OFFSET(PO!$P$12,ROW($E42)-ROW(F$12),0)</f>
        <v>360</v>
      </c>
      <c r="G42" s="400"/>
      <c r="H42" s="400"/>
      <c r="I42" s="400"/>
      <c r="J42" s="400"/>
      <c r="K42" s="400"/>
      <c r="L42" s="400"/>
      <c r="M42" s="400"/>
      <c r="N42" s="400"/>
      <c r="O42" s="400"/>
      <c r="U42" s="215"/>
    </row>
    <row r="43" spans="1:21" s="4" customFormat="1" ht="39.6" x14ac:dyDescent="0.25">
      <c r="A43" s="128" t="str">
        <f ca="1">OFFSET(PO!J$12,ROW(A43)-ROW($A$12),0)</f>
        <v>Serviço</v>
      </c>
      <c r="B43" s="130" t="str">
        <f ca="1">IF($A43=0,"",OFFSET(PO!K$12,ROW(B43)-ROW(B$12),0))</f>
        <v>3.15.</v>
      </c>
      <c r="C43" s="127" t="str">
        <f ca="1">IF(OFFSET(PO!N$12,ROW(C43)-ROW(C$12),0)=0,"",OFFSET(PO!N$12,ROW(C43)-ROW(C$12),0))</f>
        <v>BOCA DE SAÍDA PARA DRENO LONGITUDINAL PROFUNDO - BSD 02 - TUBO DE CONCRETO PERFURADO - AREIA E BRITA COMERCIAIS</v>
      </c>
      <c r="D43" s="129" t="str">
        <f ca="1">IF(OFFSET(PO!O$12,ROW(D43)-ROW(D$12),0)=0,"",OFFSET(PO!O$12,ROW(D43)-ROW(D$12),0))</f>
        <v>UNID</v>
      </c>
      <c r="E43" s="165">
        <f ca="1">IF($A43&lt;&gt;"Serviço",0,ROUND(SUMIF($F$9:$P$9,"&lt;&gt;",$F43:$P43),15-13*PO!$X$3))</f>
        <v>2</v>
      </c>
      <c r="F43" s="400">
        <f ca="1">OFFSET(PO!$P$12,ROW($E43)-ROW(F$12),0)</f>
        <v>2</v>
      </c>
      <c r="G43" s="400"/>
      <c r="H43" s="400"/>
      <c r="I43" s="400"/>
      <c r="J43" s="400"/>
      <c r="K43" s="400"/>
      <c r="L43" s="400"/>
      <c r="M43" s="400"/>
      <c r="N43" s="400"/>
      <c r="O43" s="400"/>
      <c r="U43" s="215"/>
    </row>
    <row r="44" spans="1:21" s="4" customFormat="1" ht="39.6" x14ac:dyDescent="0.25">
      <c r="A44" s="128" t="str">
        <f ca="1">OFFSET(PO!J$12,ROW(A44)-ROW($A$12),0)</f>
        <v>Serviço</v>
      </c>
      <c r="B44" s="130" t="str">
        <f ca="1">IF($A44=0,"",OFFSET(PO!K$12,ROW(B44)-ROW(B$12),0))</f>
        <v>3.16.</v>
      </c>
      <c r="C44" s="127" t="str">
        <f ca="1">IF(OFFSET(PO!N$12,ROW(C44)-ROW(C$12),0)=0,"",OFFSET(PO!N$12,ROW(C44)-ROW(C$12),0))</f>
        <v>SARJETA TRAPEZOIDAL DE CONCRETO - SZC 02 MOLDADA NO LOCAL COM ESXTRUSORA E CONCRETO USINADO - ESCAVAÇÃO MECÂNICA - AREIA E BRITA COMERCIAIS</v>
      </c>
      <c r="D44" s="129" t="str">
        <f ca="1">IF(OFFSET(PO!O$12,ROW(D44)-ROW(D$12),0)=0,"",OFFSET(PO!O$12,ROW(D44)-ROW(D$12),0))</f>
        <v>M</v>
      </c>
      <c r="E44" s="165">
        <f ca="1">IF($A44&lt;&gt;"Serviço",0,ROUND(SUMIF($F$9:$P$9,"&lt;&gt;",$F44:$P44),15-13*PO!$X$3))</f>
        <v>940</v>
      </c>
      <c r="F44" s="400">
        <f ca="1">OFFSET(PO!$P$12,ROW($E44)-ROW(F$12),0)</f>
        <v>940</v>
      </c>
      <c r="G44" s="400"/>
      <c r="H44" s="400"/>
      <c r="I44" s="400"/>
      <c r="J44" s="400"/>
      <c r="K44" s="400"/>
      <c r="L44" s="400"/>
      <c r="M44" s="400"/>
      <c r="N44" s="400"/>
      <c r="O44" s="400"/>
      <c r="U44" s="215"/>
    </row>
    <row r="45" spans="1:21" s="4" customFormat="1" ht="26.4" x14ac:dyDescent="0.25">
      <c r="A45" s="128" t="str">
        <f ca="1">OFFSET(PO!J$12,ROW(A45)-ROW($A$12),0)</f>
        <v>Serviço</v>
      </c>
      <c r="B45" s="130" t="str">
        <f ca="1">IF($A45=0,"",OFFSET(PO!K$12,ROW(B45)-ROW(B$12),0))</f>
        <v>3.17.</v>
      </c>
      <c r="C45" s="127" t="str">
        <f ca="1">IF(OFFSET(PO!N$12,ROW(C45)-ROW(C$12),0)=0,"",OFFSET(PO!N$12,ROW(C45)-ROW(C$12),0))</f>
        <v>TRANSPOSIÇÃO DE SEGMENTOS DE SARJETA - TSS 02 - TUBO 400MM - AREIA E BRITA COMERCIAIS</v>
      </c>
      <c r="D45" s="129" t="str">
        <f ca="1">IF(OFFSET(PO!O$12,ROW(D45)-ROW(D$12),0)=0,"",OFFSET(PO!O$12,ROW(D45)-ROW(D$12),0))</f>
        <v>M</v>
      </c>
      <c r="E45" s="165">
        <f ca="1">IF($A45&lt;&gt;"Serviço",0,ROUND(SUMIF($F$9:$P$9,"&lt;&gt;",$F45:$P45),15-13*PO!$X$3))</f>
        <v>250</v>
      </c>
      <c r="F45" s="400">
        <f ca="1">OFFSET(PO!$P$12,ROW($E45)-ROW(F$12),0)</f>
        <v>250</v>
      </c>
      <c r="G45" s="400"/>
      <c r="H45" s="400"/>
      <c r="I45" s="400"/>
      <c r="J45" s="400"/>
      <c r="K45" s="400"/>
      <c r="L45" s="400"/>
      <c r="M45" s="400"/>
      <c r="N45" s="400"/>
      <c r="O45" s="400"/>
      <c r="U45" s="215"/>
    </row>
    <row r="46" spans="1:21" s="4" customFormat="1" ht="26.4" x14ac:dyDescent="0.25">
      <c r="A46" s="128" t="str">
        <f ca="1">OFFSET(PO!J$12,ROW(A46)-ROW($A$12),0)</f>
        <v>Serviço</v>
      </c>
      <c r="B46" s="130" t="str">
        <f ca="1">IF($A46=0,"",OFFSET(PO!K$12,ROW(B46)-ROW(B$12),0))</f>
        <v>3.18.</v>
      </c>
      <c r="C46" s="127" t="str">
        <f ca="1">IF(OFFSET(PO!N$12,ROW(C46)-ROW(C$12),0)=0,"",OFFSET(PO!N$12,ROW(C46)-ROW(C$12),0))</f>
        <v>TRANSPORTE COM CAMINHÃO CARROCERIA COM GUINDAUTO (MUNCK), ATÉ 30kM, CONSIDERANDO 6,3 TON POR ADUELA</v>
      </c>
      <c r="D46" s="129" t="str">
        <f ca="1">IF(OFFSET(PO!O$12,ROW(D46)-ROW(D$12),0)=0,"",OFFSET(PO!O$12,ROW(D46)-ROW(D$12),0))</f>
        <v>TXKM</v>
      </c>
      <c r="E46" s="165">
        <f ca="1">IF($A46&lt;&gt;"Serviço",0,ROUND(SUMIF($F$9:$P$9,"&lt;&gt;",$F46:$P46),15-13*PO!$X$3))</f>
        <v>5670</v>
      </c>
      <c r="F46" s="400">
        <f ca="1">OFFSET(PO!$P$12,ROW($E46)-ROW(F$12),0)</f>
        <v>5670</v>
      </c>
      <c r="G46" s="400"/>
      <c r="H46" s="400"/>
      <c r="I46" s="400"/>
      <c r="J46" s="400"/>
      <c r="K46" s="400"/>
      <c r="L46" s="400"/>
      <c r="M46" s="400"/>
      <c r="N46" s="400"/>
      <c r="O46" s="400"/>
      <c r="U46" s="215"/>
    </row>
    <row r="47" spans="1:21" s="4" customFormat="1" x14ac:dyDescent="0.25">
      <c r="A47" s="128" t="str">
        <f ca="1">OFFSET(PO!J$12,ROW(A47)-ROW($A$12),0)</f>
        <v>Meta</v>
      </c>
      <c r="B47" s="130" t="str">
        <f ca="1">IF($A47=0,"",OFFSET(PO!K$12,ROW(B47)-ROW(B$12),0))</f>
        <v>4.</v>
      </c>
      <c r="C47" s="127" t="str">
        <f ca="1">IF(OFFSET(PO!N$12,ROW(C47)-ROW(C$12),0)=0,"",OFFSET(PO!N$12,ROW(C47)-ROW(C$12),0))</f>
        <v xml:space="preserve">PAVIMENTAÇÃO  </v>
      </c>
      <c r="D47" s="129" t="str">
        <f ca="1">IF(OFFSET(PO!O$12,ROW(D47)-ROW(D$12),0)=0,"",OFFSET(PO!O$12,ROW(D47)-ROW(D$12),0))</f>
        <v/>
      </c>
      <c r="E47" s="165">
        <f ca="1">IF($A47&lt;&gt;"Serviço",0,ROUND(SUMIF($F$9:$P$9,"&lt;&gt;",$F47:$P47),15-13*PO!$X$3))</f>
        <v>0</v>
      </c>
      <c r="F47" s="400">
        <f ca="1">OFFSET(PO!$P$12,ROW($E47)-ROW(F$12),0)</f>
        <v>0</v>
      </c>
      <c r="G47" s="400"/>
      <c r="H47" s="400"/>
      <c r="I47" s="400"/>
      <c r="J47" s="400"/>
      <c r="K47" s="400"/>
      <c r="L47" s="400"/>
      <c r="M47" s="400"/>
      <c r="N47" s="400"/>
      <c r="O47" s="400"/>
      <c r="U47" s="215"/>
    </row>
    <row r="48" spans="1:21" s="4" customFormat="1" x14ac:dyDescent="0.25">
      <c r="A48" s="128" t="str">
        <f ca="1">OFFSET(PO!J$12,ROW(A48)-ROW($A$12),0)</f>
        <v>Serviço</v>
      </c>
      <c r="B48" s="130" t="str">
        <f ca="1">IF($A48=0,"",OFFSET(PO!K$12,ROW(B48)-ROW(B$12),0))</f>
        <v>4.1.</v>
      </c>
      <c r="C48" s="127" t="str">
        <f ca="1">IF(OFFSET(PO!N$12,ROW(C48)-ROW(C$12),0)=0,"",OFFSET(PO!N$12,ROW(C48)-ROW(C$12),0))</f>
        <v>LOCAÇÃO DE PAVIMENTAÇÃO. AF_10/2018</v>
      </c>
      <c r="D48" s="129" t="str">
        <f ca="1">IF(OFFSET(PO!O$12,ROW(D48)-ROW(D$12),0)=0,"",OFFSET(PO!O$12,ROW(D48)-ROW(D$12),0))</f>
        <v>M</v>
      </c>
      <c r="E48" s="165">
        <f ca="1">IF($A48&lt;&gt;"Serviço",0,ROUND(SUMIF($F$9:$P$9,"&lt;&gt;",$F48:$P48),15-13*PO!$X$3))</f>
        <v>1000</v>
      </c>
      <c r="F48" s="400">
        <f ca="1">OFFSET(PO!$P$12,ROW($E48)-ROW(F$12),0)</f>
        <v>1000</v>
      </c>
      <c r="G48" s="400"/>
      <c r="H48" s="400"/>
      <c r="I48" s="400"/>
      <c r="J48" s="400"/>
      <c r="K48" s="400"/>
      <c r="L48" s="400"/>
      <c r="M48" s="400"/>
      <c r="N48" s="400"/>
      <c r="O48" s="400"/>
      <c r="U48" s="215"/>
    </row>
    <row r="49" spans="1:21" s="4" customFormat="1" ht="39.6" x14ac:dyDescent="0.25">
      <c r="A49" s="128" t="str">
        <f ca="1">OFFSET(PO!J$12,ROW(A49)-ROW($A$12),0)</f>
        <v>Serviço</v>
      </c>
      <c r="B49" s="130" t="str">
        <f ca="1">IF($A49=0,"",OFFSET(PO!K$12,ROW(B49)-ROW(B$12),0))</f>
        <v>4.2.</v>
      </c>
      <c r="C49" s="127" t="str">
        <f ca="1">IF(OFFSET(PO!N$12,ROW(C49)-ROW(C$12),0)=0,"",OFFSET(PO!N$12,ROW(C49)-ROW(C$12),0))</f>
        <v>EXECUÇÃO E COMPACTAÇÃO DE BASE E OU SUB BASE PARA PAVIMENTAÇÃO DE BRITA GRADUADA SIMPLES - EXCLUSIVE CARGA E TRANSPORTE. AF_11/2019</v>
      </c>
      <c r="D49" s="129" t="str">
        <f ca="1">IF(OFFSET(PO!O$12,ROW(D49)-ROW(D$12),0)=0,"",OFFSET(PO!O$12,ROW(D49)-ROW(D$12),0))</f>
        <v>M3</v>
      </c>
      <c r="E49" s="165">
        <f ca="1">IF($A49&lt;&gt;"Serviço",0,ROUND(SUMIF($F$9:$P$9,"&lt;&gt;",$F49:$P49),15-13*PO!$X$3))</f>
        <v>1600</v>
      </c>
      <c r="F49" s="400">
        <f ca="1">OFFSET(PO!$P$12,ROW($E49)-ROW(F$12),0)</f>
        <v>1600</v>
      </c>
      <c r="G49" s="400"/>
      <c r="H49" s="400"/>
      <c r="I49" s="400"/>
      <c r="J49" s="400"/>
      <c r="K49" s="400"/>
      <c r="L49" s="400"/>
      <c r="M49" s="400"/>
      <c r="N49" s="400"/>
      <c r="O49" s="400"/>
      <c r="U49" s="215"/>
    </row>
    <row r="50" spans="1:21" s="4" customFormat="1" ht="39.6" x14ac:dyDescent="0.25">
      <c r="A50" s="128" t="str">
        <f ca="1">OFFSET(PO!J$12,ROW(A50)-ROW($A$12),0)</f>
        <v>Serviço</v>
      </c>
      <c r="B50" s="130" t="str">
        <f ca="1">IF($A50=0,"",OFFSET(PO!K$12,ROW(B50)-ROW(B$12),0))</f>
        <v>4.3.</v>
      </c>
      <c r="C50" s="127" t="str">
        <f ca="1">IF(OFFSET(PO!N$12,ROW(C50)-ROW(C$12),0)=0,"",OFFSET(PO!N$12,ROW(C50)-ROW(C$12),0))</f>
        <v>TRANSPORTE COM CAMINHÃO BASCULANTE DE 10 M³, EM VIA URBANA PAVIMENTADA, DMT ATÉ 30 KM (UNIDADE: M3XKM). AF_07/2020</v>
      </c>
      <c r="D50" s="129" t="str">
        <f ca="1">IF(OFFSET(PO!O$12,ROW(D50)-ROW(D$12),0)=0,"",OFFSET(PO!O$12,ROW(D50)-ROW(D$12),0))</f>
        <v>M3XKM</v>
      </c>
      <c r="E50" s="165">
        <f ca="1">IF($A50&lt;&gt;"Serviço",0,ROUND(SUMIF($F$9:$P$9,"&lt;&gt;",$F50:$P50),15-13*PO!$X$3))</f>
        <v>40000</v>
      </c>
      <c r="F50" s="400">
        <f ca="1">OFFSET(PO!$P$12,ROW($E50)-ROW(F$12),0)</f>
        <v>40000</v>
      </c>
      <c r="G50" s="400"/>
      <c r="H50" s="400"/>
      <c r="I50" s="400"/>
      <c r="J50" s="400"/>
      <c r="K50" s="400"/>
      <c r="L50" s="400"/>
      <c r="M50" s="400"/>
      <c r="N50" s="400"/>
      <c r="O50" s="400"/>
      <c r="U50" s="215"/>
    </row>
    <row r="51" spans="1:21" s="4" customFormat="1" ht="26.4" x14ac:dyDescent="0.25">
      <c r="A51" s="128" t="str">
        <f ca="1">OFFSET(PO!J$12,ROW(A51)-ROW($A$12),0)</f>
        <v>Serviço</v>
      </c>
      <c r="B51" s="130" t="str">
        <f ca="1">IF($A51=0,"",OFFSET(PO!K$12,ROW(B51)-ROW(B$12),0))</f>
        <v>4.4.</v>
      </c>
      <c r="C51" s="127" t="str">
        <f ca="1">IF(OFFSET(PO!N$12,ROW(C51)-ROW(C$12),0)=0,"",OFFSET(PO!N$12,ROW(C51)-ROW(C$12),0))</f>
        <v>EXECUÇÃO DE IMPRIMAÇÃO COM ASFALTO DILUÍDO CM-30 - EXCLUSIVE ASFALTO DILUIDO</v>
      </c>
      <c r="D51" s="129" t="str">
        <f ca="1">IF(OFFSET(PO!O$12,ROW(D51)-ROW(D$12),0)=0,"",OFFSET(PO!O$12,ROW(D51)-ROW(D$12),0))</f>
        <v xml:space="preserve">M2    </v>
      </c>
      <c r="E51" s="165">
        <f ca="1">IF($A51&lt;&gt;"Serviço",0,ROUND(SUMIF($F$9:$P$9,"&lt;&gt;",$F51:$P51),15-13*PO!$X$3))</f>
        <v>7000</v>
      </c>
      <c r="F51" s="400">
        <f ca="1">OFFSET(PO!$P$12,ROW($E51)-ROW(F$12),0)</f>
        <v>7000</v>
      </c>
      <c r="G51" s="400"/>
      <c r="H51" s="400"/>
      <c r="I51" s="400"/>
      <c r="J51" s="400"/>
      <c r="K51" s="400"/>
      <c r="L51" s="400"/>
      <c r="M51" s="400"/>
      <c r="N51" s="400"/>
      <c r="O51" s="400"/>
      <c r="U51" s="215"/>
    </row>
    <row r="52" spans="1:21" s="4" customFormat="1" x14ac:dyDescent="0.25">
      <c r="A52" s="128" t="str">
        <f ca="1">OFFSET(PO!J$12,ROW(A52)-ROW($A$12),0)</f>
        <v>Serviço</v>
      </c>
      <c r="B52" s="130" t="str">
        <f ca="1">IF($A52=0,"",OFFSET(PO!K$12,ROW(B52)-ROW(B$12),0))</f>
        <v>4.5.</v>
      </c>
      <c r="C52" s="127" t="str">
        <f ca="1">IF(OFFSET(PO!N$12,ROW(C52)-ROW(C$12),0)=0,"",OFFSET(PO!N$12,ROW(C52)-ROW(C$12),0))</f>
        <v>ASFALTO DILUIDO CM-30 (COM DBI 15%)</v>
      </c>
      <c r="D52" s="129" t="str">
        <f ca="1">IF(OFFSET(PO!O$12,ROW(D52)-ROW(D$12),0)=0,"",OFFSET(PO!O$12,ROW(D52)-ROW(D$12),0))</f>
        <v>T</v>
      </c>
      <c r="E52" s="165">
        <f ca="1">IF($A52&lt;&gt;"Serviço",0,ROUND(SUMIF($F$9:$P$9,"&lt;&gt;",$F52:$P52),15-13*PO!$X$3))</f>
        <v>7</v>
      </c>
      <c r="F52" s="400">
        <f ca="1">OFFSET(PO!$P$12,ROW($E52)-ROW(F$12),0)</f>
        <v>7</v>
      </c>
      <c r="G52" s="400"/>
      <c r="H52" s="400"/>
      <c r="I52" s="400"/>
      <c r="J52" s="400"/>
      <c r="K52" s="400"/>
      <c r="L52" s="400"/>
      <c r="M52" s="400"/>
      <c r="N52" s="400"/>
      <c r="O52" s="400"/>
      <c r="U52" s="215"/>
    </row>
    <row r="53" spans="1:21" s="4" customFormat="1" ht="26.4" x14ac:dyDescent="0.25">
      <c r="A53" s="128" t="str">
        <f ca="1">OFFSET(PO!J$12,ROW(A53)-ROW($A$12),0)</f>
        <v>Serviço</v>
      </c>
      <c r="B53" s="130" t="str">
        <f ca="1">IF($A53=0,"",OFFSET(PO!K$12,ROW(B53)-ROW(B$12),0))</f>
        <v>4.6.</v>
      </c>
      <c r="C53" s="127" t="str">
        <f ca="1">IF(OFFSET(PO!N$12,ROW(C53)-ROW(C$12),0)=0,"",OFFSET(PO!N$12,ROW(C53)-ROW(C$12),0))</f>
        <v>EXECUÇÃO DE PINTURA DE LIGAÇÃO COM EMULSÃO ASFÁLTICA RR-2C - EXCLUSIVE EMULSÃO RR-2C</v>
      </c>
      <c r="D53" s="129" t="str">
        <f ca="1">IF(OFFSET(PO!O$12,ROW(D53)-ROW(D$12),0)=0,"",OFFSET(PO!O$12,ROW(D53)-ROW(D$12),0))</f>
        <v>M2</v>
      </c>
      <c r="E53" s="165">
        <f ca="1">IF($A53&lt;&gt;"Serviço",0,ROUND(SUMIF($F$9:$P$9,"&lt;&gt;",$F53:$P53),15-13*PO!$X$3))</f>
        <v>7000</v>
      </c>
      <c r="F53" s="400">
        <f ca="1">OFFSET(PO!$P$12,ROW($E53)-ROW(F$12),0)</f>
        <v>7000</v>
      </c>
      <c r="G53" s="400"/>
      <c r="H53" s="400"/>
      <c r="I53" s="400"/>
      <c r="J53" s="400"/>
      <c r="K53" s="400"/>
      <c r="L53" s="400"/>
      <c r="M53" s="400"/>
      <c r="N53" s="400"/>
      <c r="O53" s="400"/>
      <c r="U53" s="215"/>
    </row>
    <row r="54" spans="1:21" s="4" customFormat="1" x14ac:dyDescent="0.25">
      <c r="A54" s="128" t="str">
        <f ca="1">OFFSET(PO!J$12,ROW(A54)-ROW($A$12),0)</f>
        <v>Serviço</v>
      </c>
      <c r="B54" s="130" t="str">
        <f ca="1">IF($A54=0,"",OFFSET(PO!K$12,ROW(B54)-ROW(B$12),0))</f>
        <v>4.7.</v>
      </c>
      <c r="C54" s="127" t="str">
        <f ca="1">IF(OFFSET(PO!N$12,ROW(C54)-ROW(C$12),0)=0,"",OFFSET(PO!N$12,ROW(C54)-ROW(C$12),0))</f>
        <v>EMULSÃO ASFÁLTICA RR-2C (COM BDI 15%)</v>
      </c>
      <c r="D54" s="129" t="str">
        <f ca="1">IF(OFFSET(PO!O$12,ROW(D54)-ROW(D$12),0)=0,"",OFFSET(PO!O$12,ROW(D54)-ROW(D$12),0))</f>
        <v>T</v>
      </c>
      <c r="E54" s="165">
        <f ca="1">IF($A54&lt;&gt;"Serviço",0,ROUND(SUMIF($F$9:$P$9,"&lt;&gt;",$F54:$P54),15-13*PO!$X$3))</f>
        <v>2.7</v>
      </c>
      <c r="F54" s="400">
        <f ca="1">OFFSET(PO!$P$12,ROW($E54)-ROW(F$12),0)</f>
        <v>2.7</v>
      </c>
      <c r="G54" s="400"/>
      <c r="H54" s="400"/>
      <c r="I54" s="400"/>
      <c r="J54" s="400"/>
      <c r="K54" s="400"/>
      <c r="L54" s="400"/>
      <c r="M54" s="400"/>
      <c r="N54" s="400"/>
      <c r="O54" s="400"/>
      <c r="U54" s="215"/>
    </row>
    <row r="55" spans="1:21" s="4" customFormat="1" ht="39.6" x14ac:dyDescent="0.25">
      <c r="A55" s="128" t="str">
        <f ca="1">OFFSET(PO!J$12,ROW(A55)-ROW($A$12),0)</f>
        <v>Serviço</v>
      </c>
      <c r="B55" s="130" t="str">
        <f ca="1">IF($A55=0,"",OFFSET(PO!K$12,ROW(B55)-ROW(B$12),0))</f>
        <v>4.8.</v>
      </c>
      <c r="C55" s="127" t="str">
        <f ca="1">IF(OFFSET(PO!N$12,ROW(C55)-ROW(C$12),0)=0,"",OFFSET(PO!N$12,ROW(C55)-ROW(C$12),0))</f>
        <v xml:space="preserve">EXECUÇÃO DE PAVIMENTO COM APLICAÇÃO DE CONCRETO ASFÁLTICO, CAMADA DE ROLAMENTO - EXCLUSIVE CAP 50/70, CARGA E TRANSPORTE. </v>
      </c>
      <c r="D55" s="129" t="str">
        <f ca="1">IF(OFFSET(PO!O$12,ROW(D55)-ROW(D$12),0)=0,"",OFFSET(PO!O$12,ROW(D55)-ROW(D$12),0))</f>
        <v>M3</v>
      </c>
      <c r="E55" s="165">
        <f ca="1">IF($A55&lt;&gt;"Serviço",0,ROUND(SUMIF($F$9:$P$9,"&lt;&gt;",$F55:$P55),15-13*PO!$X$3))</f>
        <v>300</v>
      </c>
      <c r="F55" s="400">
        <f ca="1">OFFSET(PO!$P$12,ROW($E55)-ROW(F$12),0)</f>
        <v>300</v>
      </c>
      <c r="G55" s="400"/>
      <c r="H55" s="400"/>
      <c r="I55" s="400"/>
      <c r="J55" s="400"/>
      <c r="K55" s="400"/>
      <c r="L55" s="400"/>
      <c r="M55" s="400"/>
      <c r="N55" s="400"/>
      <c r="O55" s="400"/>
      <c r="U55" s="215"/>
    </row>
    <row r="56" spans="1:21" s="4" customFormat="1" ht="26.4" x14ac:dyDescent="0.25">
      <c r="A56" s="128" t="str">
        <f ca="1">OFFSET(PO!J$12,ROW(A56)-ROW($A$12),0)</f>
        <v>Serviço</v>
      </c>
      <c r="B56" s="130" t="str">
        <f ca="1">IF($A56=0,"",OFFSET(PO!K$12,ROW(B56)-ROW(B$12),0))</f>
        <v>4.9.</v>
      </c>
      <c r="C56" s="127" t="str">
        <f ca="1">IF(OFFSET(PO!N$12,ROW(C56)-ROW(C$12),0)=0,"",OFFSET(PO!N$12,ROW(C56)-ROW(C$12),0))</f>
        <v xml:space="preserve">CIMENTO ASFALTICO DE PETROLEO A GRANEL (CAP) 50/70 (COLETADO CAIXA NA ANP ACRESCIDO DE ICMS)                                                                                                                                                                                                                                                                                                                                                                                                              </v>
      </c>
      <c r="D56" s="129" t="str">
        <f ca="1">IF(OFFSET(PO!O$12,ROW(D56)-ROW(D$12),0)=0,"",OFFSET(PO!O$12,ROW(D56)-ROW(D$12),0))</f>
        <v xml:space="preserve">T     </v>
      </c>
      <c r="E56" s="165">
        <f ca="1">IF($A56&lt;&gt;"Serviço",0,ROUND(SUMIF($F$9:$P$9,"&lt;&gt;",$F56:$P56),15-13*PO!$X$3))</f>
        <v>41.4</v>
      </c>
      <c r="F56" s="400">
        <f ca="1">OFFSET(PO!$P$12,ROW($E56)-ROW(F$12),0)</f>
        <v>41.4</v>
      </c>
      <c r="G56" s="400"/>
      <c r="H56" s="400"/>
      <c r="I56" s="400"/>
      <c r="J56" s="400"/>
      <c r="K56" s="400"/>
      <c r="L56" s="400"/>
      <c r="M56" s="400"/>
      <c r="N56" s="400"/>
      <c r="O56" s="400"/>
      <c r="U56" s="215"/>
    </row>
    <row r="57" spans="1:21" s="4" customFormat="1" ht="26.4" x14ac:dyDescent="0.25">
      <c r="A57" s="128" t="str">
        <f ca="1">OFFSET(PO!J$12,ROW(A57)-ROW($A$12),0)</f>
        <v>Serviço</v>
      </c>
      <c r="B57" s="130" t="str">
        <f ca="1">IF($A57=0,"",OFFSET(PO!K$12,ROW(B57)-ROW(B$12),0))</f>
        <v>4.10.</v>
      </c>
      <c r="C57" s="127" t="str">
        <f ca="1">IF(OFFSET(PO!N$12,ROW(C57)-ROW(C$12),0)=0,"",OFFSET(PO!N$12,ROW(C57)-ROW(C$12),0))</f>
        <v>PAVIMENTO COM TRATAMENTO SUPERFICIAL SIMPLES, COM EMULSÃO ASFÁLTICA RR-2C - EXCLUSIVE RR-2C</v>
      </c>
      <c r="D57" s="129" t="str">
        <f ca="1">IF(OFFSET(PO!O$12,ROW(D57)-ROW(D$12),0)=0,"",OFFSET(PO!O$12,ROW(D57)-ROW(D$12),0))</f>
        <v>M2</v>
      </c>
      <c r="E57" s="165">
        <f ca="1">IF($A57&lt;&gt;"Serviço",0,ROUND(SUMIF($F$9:$P$9,"&lt;&gt;",$F57:$P57),15-13*PO!$X$3))</f>
        <v>1000</v>
      </c>
      <c r="F57" s="400">
        <f ca="1">OFFSET(PO!$P$12,ROW($E57)-ROW(F$12),0)</f>
        <v>1000</v>
      </c>
      <c r="G57" s="400"/>
      <c r="H57" s="400"/>
      <c r="I57" s="400"/>
      <c r="J57" s="400"/>
      <c r="K57" s="400"/>
      <c r="L57" s="400"/>
      <c r="M57" s="400"/>
      <c r="N57" s="400"/>
      <c r="O57" s="400"/>
      <c r="U57" s="215"/>
    </row>
    <row r="58" spans="1:21" s="4" customFormat="1" x14ac:dyDescent="0.25">
      <c r="A58" s="128" t="str">
        <f ca="1">OFFSET(PO!J$12,ROW(A58)-ROW($A$12),0)</f>
        <v>Serviço</v>
      </c>
      <c r="B58" s="130" t="str">
        <f ca="1">IF($A58=0,"",OFFSET(PO!K$12,ROW(B58)-ROW(B$12),0))</f>
        <v>4.11.</v>
      </c>
      <c r="C58" s="127" t="str">
        <f ca="1">IF(OFFSET(PO!N$12,ROW(C58)-ROW(C$12),0)=0,"",OFFSET(PO!N$12,ROW(C58)-ROW(C$12),0))</f>
        <v>EMULSÃO ASFÁLTICA RR-2C (COM BDI 15%)</v>
      </c>
      <c r="D58" s="129" t="str">
        <f ca="1">IF(OFFSET(PO!O$12,ROW(D58)-ROW(D$12),0)=0,"",OFFSET(PO!O$12,ROW(D58)-ROW(D$12),0))</f>
        <v>T</v>
      </c>
      <c r="E58" s="165">
        <f ca="1">IF($A58&lt;&gt;"Serviço",0,ROUND(SUMIF($F$9:$P$9,"&lt;&gt;",$F58:$P58),15-13*PO!$X$3))</f>
        <v>0.45</v>
      </c>
      <c r="F58" s="400">
        <f ca="1">OFFSET(PO!$P$12,ROW($E58)-ROW(F$12),0)</f>
        <v>0.45</v>
      </c>
      <c r="G58" s="400"/>
      <c r="H58" s="400"/>
      <c r="I58" s="400"/>
      <c r="J58" s="400"/>
      <c r="K58" s="400"/>
      <c r="L58" s="400"/>
      <c r="M58" s="400"/>
      <c r="N58" s="400"/>
      <c r="O58" s="400"/>
      <c r="U58" s="215"/>
    </row>
    <row r="59" spans="1:21" s="4" customFormat="1" ht="39.6" x14ac:dyDescent="0.25">
      <c r="A59" s="128" t="str">
        <f ca="1">OFFSET(PO!J$12,ROW(A59)-ROW($A$12),0)</f>
        <v>Serviço</v>
      </c>
      <c r="B59" s="130" t="str">
        <f ca="1">IF($A59=0,"",OFFSET(PO!K$12,ROW(B59)-ROW(B$12),0))</f>
        <v>4.12.</v>
      </c>
      <c r="C59" s="127" t="str">
        <f ca="1">IF(OFFSET(PO!N$12,ROW(C59)-ROW(C$12),0)=0,"",OFFSET(PO!N$12,ROW(C59)-ROW(C$12),0))</f>
        <v>TRANSPORTE COM CAMINHÃO BASCULANTE DE 10 M³, EM VIA URBANA PAVIMENTADA, DMT ATÉ 30 KM (UNIDADE: M3XKM). AF_07/2020</v>
      </c>
      <c r="D59" s="129" t="str">
        <f ca="1">IF(OFFSET(PO!O$12,ROW(D59)-ROW(D$12),0)=0,"",OFFSET(PO!O$12,ROW(D59)-ROW(D$12),0))</f>
        <v>M3XKM</v>
      </c>
      <c r="E59" s="165">
        <f ca="1">IF($A59&lt;&gt;"Serviço",0,ROUND(SUMIF($F$9:$P$9,"&lt;&gt;",$F59:$P59),15-13*PO!$X$3))</f>
        <v>7500</v>
      </c>
      <c r="F59" s="400">
        <f ca="1">OFFSET(PO!$P$12,ROW($E59)-ROW(F$12),0)</f>
        <v>7500</v>
      </c>
      <c r="G59" s="400"/>
      <c r="H59" s="400"/>
      <c r="I59" s="400"/>
      <c r="J59" s="400"/>
      <c r="K59" s="400"/>
      <c r="L59" s="400"/>
      <c r="M59" s="400"/>
      <c r="N59" s="400"/>
      <c r="O59" s="400"/>
      <c r="U59" s="215"/>
    </row>
    <row r="60" spans="1:21" s="4" customFormat="1" x14ac:dyDescent="0.25">
      <c r="A60" s="128" t="str">
        <f ca="1">OFFSET(PO!J$12,ROW(A60)-ROW($A$12),0)</f>
        <v>Meta</v>
      </c>
      <c r="B60" s="130" t="str">
        <f ca="1">IF($A60=0,"",OFFSET(PO!K$12,ROW(B60)-ROW(B$12),0))</f>
        <v>5.</v>
      </c>
      <c r="C60" s="127" t="str">
        <f ca="1">IF(OFFSET(PO!N$12,ROW(C60)-ROW(C$12),0)=0,"",OFFSET(PO!N$12,ROW(C60)-ROW(C$12),0))</f>
        <v>SINALIZAÇÃO</v>
      </c>
      <c r="D60" s="129" t="str">
        <f ca="1">IF(OFFSET(PO!O$12,ROW(D60)-ROW(D$12),0)=0,"",OFFSET(PO!O$12,ROW(D60)-ROW(D$12),0))</f>
        <v/>
      </c>
      <c r="E60" s="165">
        <f ca="1">IF($A60&lt;&gt;"Serviço",0,ROUND(SUMIF($F$9:$P$9,"&lt;&gt;",$F60:$P60),15-13*PO!$X$3))</f>
        <v>0</v>
      </c>
      <c r="F60" s="400">
        <f ca="1">OFFSET(PO!$P$12,ROW($E60)-ROW(F$12),0)</f>
        <v>0</v>
      </c>
      <c r="G60" s="400"/>
      <c r="H60" s="400"/>
      <c r="I60" s="400"/>
      <c r="J60" s="400"/>
      <c r="K60" s="400"/>
      <c r="L60" s="400"/>
      <c r="M60" s="400"/>
      <c r="N60" s="400"/>
      <c r="O60" s="400"/>
      <c r="U60" s="215"/>
    </row>
    <row r="61" spans="1:21" s="4" customFormat="1" ht="39.6" x14ac:dyDescent="0.25">
      <c r="A61" s="128" t="str">
        <f ca="1">OFFSET(PO!J$12,ROW(A61)-ROW($A$12),0)</f>
        <v>Serviço</v>
      </c>
      <c r="B61" s="130" t="str">
        <f ca="1">IF($A61=0,"",OFFSET(PO!K$12,ROW(B61)-ROW(B$12),0))</f>
        <v>5.1.</v>
      </c>
      <c r="C61" s="127" t="str">
        <f ca="1">IF(OFFSET(PO!N$12,ROW(C61)-ROW(C$12),0)=0,"",OFFSET(PO!N$12,ROW(C61)-ROW(C$12),0))</f>
        <v xml:space="preserve">FORNECIMENTO E INSTALAÇÃO DE PLACAS SEMIREFLETIVAS DE REGULAMENTAÇÃO OU ADVERTÊNCIA COM SUPORTE METÁLICO </v>
      </c>
      <c r="D61" s="129" t="str">
        <f ca="1">IF(OFFSET(PO!O$12,ROW(D61)-ROW(D$12),0)=0,"",OFFSET(PO!O$12,ROW(D61)-ROW(D$12),0))</f>
        <v>UNID</v>
      </c>
      <c r="E61" s="165">
        <f ca="1">IF($A61&lt;&gt;"Serviço",0,ROUND(SUMIF($F$9:$P$9,"&lt;&gt;",$F61:$P61),15-13*PO!$X$3))</f>
        <v>9</v>
      </c>
      <c r="F61" s="400">
        <f ca="1">OFFSET(PO!$P$12,ROW($E61)-ROW(F$12),0)</f>
        <v>9</v>
      </c>
      <c r="G61" s="400"/>
      <c r="H61" s="400"/>
      <c r="I61" s="400"/>
      <c r="J61" s="400"/>
      <c r="K61" s="400"/>
      <c r="L61" s="400"/>
      <c r="M61" s="400"/>
      <c r="N61" s="400"/>
      <c r="O61" s="400"/>
      <c r="U61" s="215"/>
    </row>
    <row r="62" spans="1:21" s="4" customFormat="1" ht="52.8" x14ac:dyDescent="0.25">
      <c r="A62" s="128" t="str">
        <f ca="1">OFFSET(PO!J$12,ROW(A62)-ROW($A$12),0)</f>
        <v>Serviço</v>
      </c>
      <c r="B62" s="130" t="str">
        <f ca="1">IF($A62=0,"",OFFSET(PO!K$12,ROW(B62)-ROW(B$12),0))</f>
        <v>5.2.</v>
      </c>
      <c r="C62" s="127" t="str">
        <f ca="1">IF(OFFSET(PO!N$12,ROW(C62)-ROW(C$12),0)=0,"",OFFSET(PO!N$12,ROW(C62)-ROW(C$12),0))</f>
        <v>PINTURA DE EIXO VIÁRIO SOBRE ASFALTO COM TINTA RETRORREFLETIVA A BASE DE RESINA ACRÍLICA COM MICROESFERAS DE VIDRO, APLICAÇÃO MECÂNICA COM DEMARCADORA AUTOPROPELIDA. AF_05/2021</v>
      </c>
      <c r="D62" s="129" t="str">
        <f ca="1">IF(OFFSET(PO!O$12,ROW(D62)-ROW(D$12),0)=0,"",OFFSET(PO!O$12,ROW(D62)-ROW(D$12),0))</f>
        <v>M</v>
      </c>
      <c r="E62" s="165">
        <f ca="1">IF($A62&lt;&gt;"Serviço",0,ROUND(SUMIF($F$9:$P$9,"&lt;&gt;",$F62:$P62),15-13*PO!$X$3))</f>
        <v>3660</v>
      </c>
      <c r="F62" s="400">
        <f ca="1">OFFSET(PO!$P$12,ROW($E62)-ROW(F$12),0)</f>
        <v>3660</v>
      </c>
      <c r="G62" s="400"/>
      <c r="H62" s="400"/>
      <c r="I62" s="400"/>
      <c r="J62" s="400"/>
      <c r="K62" s="400"/>
      <c r="L62" s="400"/>
      <c r="M62" s="400"/>
      <c r="N62" s="400"/>
      <c r="O62" s="400"/>
      <c r="U62" s="215"/>
    </row>
    <row r="63" spans="1:21" s="4" customFormat="1" ht="26.4" x14ac:dyDescent="0.25">
      <c r="A63" s="128" t="str">
        <f ca="1">OFFSET(PO!J$12,ROW(A63)-ROW($A$12),0)</f>
        <v>Serviço</v>
      </c>
      <c r="B63" s="130" t="str">
        <f ca="1">IF($A63=0,"",OFFSET(PO!K$12,ROW(B63)-ROW(B$12),0))</f>
        <v>5.3.</v>
      </c>
      <c r="C63" s="127" t="str">
        <f ca="1">IF(OFFSET(PO!N$12,ROW(C63)-ROW(C$12),0)=0,"",OFFSET(PO!N$12,ROW(C63)-ROW(C$12),0))</f>
        <v>TACHA REFLETIVA EM RESINA SINTÉTICA - BIDIRECIONAL TIPO II - COM UM PINO - FORNECIMENTO E COLOCAÇÃO</v>
      </c>
      <c r="D63" s="129" t="str">
        <f ca="1">IF(OFFSET(PO!O$12,ROW(D63)-ROW(D$12),0)=0,"",OFFSET(PO!O$12,ROW(D63)-ROW(D$12),0))</f>
        <v>UNID</v>
      </c>
      <c r="E63" s="165">
        <f ca="1">IF($A63&lt;&gt;"Serviço",0,ROUND(SUMIF($F$9:$P$9,"&lt;&gt;",$F63:$P63),15-13*PO!$X$3))</f>
        <v>250</v>
      </c>
      <c r="F63" s="400">
        <f ca="1">OFFSET(PO!$P$12,ROW($E63)-ROW(F$12),0)</f>
        <v>250</v>
      </c>
      <c r="G63" s="400"/>
      <c r="H63" s="400"/>
      <c r="I63" s="400"/>
      <c r="J63" s="400"/>
      <c r="K63" s="400"/>
      <c r="L63" s="400"/>
      <c r="M63" s="400"/>
      <c r="N63" s="400"/>
      <c r="O63" s="400"/>
      <c r="U63" s="215"/>
    </row>
    <row r="64" spans="1:21" s="4" customFormat="1" ht="26.4" x14ac:dyDescent="0.25">
      <c r="A64" s="128" t="str">
        <f ca="1">OFFSET(PO!J$12,ROW(A64)-ROW($A$12),0)</f>
        <v>Serviço</v>
      </c>
      <c r="B64" s="130" t="str">
        <f ca="1">IF($A64=0,"",OFFSET(PO!K$12,ROW(B64)-ROW(B$12),0))</f>
        <v>5.4.</v>
      </c>
      <c r="C64" s="127" t="str">
        <f ca="1">IF(OFFSET(PO!N$12,ROW(C64)-ROW(C$12),0)=0,"",OFFSET(PO!N$12,ROW(C64)-ROW(C$12),0))</f>
        <v>ANCORAGEM DE DEFENSA MALEÁVEL DUPLA - FORNECIMENTO E IMPLANTAÇÃO</v>
      </c>
      <c r="D64" s="129" t="str">
        <f ca="1">IF(OFFSET(PO!O$12,ROW(D64)-ROW(D$12),0)=0,"",OFFSET(PO!O$12,ROW(D64)-ROW(D$12),0))</f>
        <v>M</v>
      </c>
      <c r="E64" s="165">
        <f ca="1">IF($A64&lt;&gt;"Serviço",0,ROUND(SUMIF($F$9:$P$9,"&lt;&gt;",$F64:$P64),15-13*PO!$X$3))</f>
        <v>30</v>
      </c>
      <c r="F64" s="400">
        <f ca="1">OFFSET(PO!$P$12,ROW($E64)-ROW(F$12),0)</f>
        <v>30</v>
      </c>
      <c r="G64" s="400"/>
      <c r="H64" s="400"/>
      <c r="I64" s="400"/>
      <c r="J64" s="400"/>
      <c r="K64" s="400"/>
      <c r="L64" s="400"/>
      <c r="M64" s="400"/>
      <c r="N64" s="400"/>
      <c r="O64" s="400"/>
      <c r="U64" s="215"/>
    </row>
    <row r="65" spans="1:21" s="4" customFormat="1" x14ac:dyDescent="0.25">
      <c r="A65" s="128" t="str">
        <f ca="1">OFFSET(PO!J$12,ROW(A65)-ROW($A$12),0)</f>
        <v>Serviço</v>
      </c>
      <c r="B65" s="130" t="str">
        <f ca="1">IF($A65=0,"",OFFSET(PO!K$12,ROW(B65)-ROW(B$12),0))</f>
        <v>5.5.</v>
      </c>
      <c r="C65" s="127" t="str">
        <f ca="1">IF(OFFSET(PO!N$12,ROW(C65)-ROW(C$12),0)=0,"",OFFSET(PO!N$12,ROW(C65)-ROW(C$12),0))</f>
        <v>DEFENSA MALEÁVEL DUPLA - FORNECIMENTO E IMPLANTAÇÃO</v>
      </c>
      <c r="D65" s="129" t="str">
        <f ca="1">IF(OFFSET(PO!O$12,ROW(D65)-ROW(D$12),0)=0,"",OFFSET(PO!O$12,ROW(D65)-ROW(D$12),0))</f>
        <v>M</v>
      </c>
      <c r="E65" s="165">
        <f ca="1">IF($A65&lt;&gt;"Serviço",0,ROUND(SUMIF($F$9:$P$9,"&lt;&gt;",$F65:$P65),15-13*PO!$X$3))</f>
        <v>120</v>
      </c>
      <c r="F65" s="400">
        <f ca="1">OFFSET(PO!$P$12,ROW($E65)-ROW(F$12),0)</f>
        <v>120</v>
      </c>
      <c r="G65" s="400"/>
      <c r="H65" s="400"/>
      <c r="I65" s="400"/>
      <c r="J65" s="400"/>
      <c r="K65" s="400"/>
      <c r="L65" s="400"/>
      <c r="M65" s="400"/>
      <c r="N65" s="400"/>
      <c r="O65" s="400"/>
      <c r="U65" s="215"/>
    </row>
    <row r="66" spans="1:21" s="4" customFormat="1" x14ac:dyDescent="0.25">
      <c r="A66" s="128" t="str">
        <f ca="1">OFFSET(PO!J$12,ROW(A66)-ROW($A$12),0)</f>
        <v>Meta</v>
      </c>
      <c r="B66" s="130" t="str">
        <f ca="1">IF($A66=0,"",OFFSET(PO!K$12,ROW(B66)-ROW(B$12),0))</f>
        <v>6.</v>
      </c>
      <c r="C66" s="127" t="str">
        <f ca="1">IF(OFFSET(PO!N$12,ROW(C66)-ROW(C$12),0)=0,"",OFFSET(PO!N$12,ROW(C66)-ROW(C$12),0))</f>
        <v>OBRAS COMPLEMENTARES</v>
      </c>
      <c r="D66" s="129" t="str">
        <f ca="1">IF(OFFSET(PO!O$12,ROW(D66)-ROW(D$12),0)=0,"",OFFSET(PO!O$12,ROW(D66)-ROW(D$12),0))</f>
        <v/>
      </c>
      <c r="E66" s="165">
        <f ca="1">IF($A66&lt;&gt;"Serviço",0,ROUND(SUMIF($F$9:$P$9,"&lt;&gt;",$F66:$P66),15-13*PO!$X$3))</f>
        <v>0</v>
      </c>
      <c r="F66" s="400">
        <f ca="1">OFFSET(PO!$P$12,ROW($E66)-ROW(F$12),0)</f>
        <v>0</v>
      </c>
      <c r="G66" s="400"/>
      <c r="H66" s="400"/>
      <c r="I66" s="400"/>
      <c r="J66" s="400"/>
      <c r="K66" s="400"/>
      <c r="L66" s="400"/>
      <c r="M66" s="400"/>
      <c r="N66" s="400"/>
      <c r="O66" s="400"/>
      <c r="U66" s="215"/>
    </row>
    <row r="67" spans="1:21" s="4" customFormat="1" ht="26.4" x14ac:dyDescent="0.25">
      <c r="A67" s="128" t="str">
        <f ca="1">OFFSET(PO!J$12,ROW(A67)-ROW($A$12),0)</f>
        <v>Serviço</v>
      </c>
      <c r="B67" s="130" t="str">
        <f ca="1">IF($A67=0,"",OFFSET(PO!K$12,ROW(B67)-ROW(B$12),0))</f>
        <v>6.1.</v>
      </c>
      <c r="C67" s="127" t="str">
        <f ca="1">IF(OFFSET(PO!N$12,ROW(C67)-ROW(C$12),0)=0,"",OFFSET(PO!N$12,ROW(C67)-ROW(C$12),0))</f>
        <v>REMOÇÃO DE CERCAS, PARREIRAS OU OUTRAS INTERVENÇÕES EXISTENTES</v>
      </c>
      <c r="D67" s="129" t="str">
        <f ca="1">IF(OFFSET(PO!O$12,ROW(D67)-ROW(D$12),0)=0,"",OFFSET(PO!O$12,ROW(D67)-ROW(D$12),0))</f>
        <v>M</v>
      </c>
      <c r="E67" s="165">
        <f ca="1">IF($A67&lt;&gt;"Serviço",0,ROUND(SUMIF($F$9:$P$9,"&lt;&gt;",$F67:$P67),15-13*PO!$X$3))</f>
        <v>155</v>
      </c>
      <c r="F67" s="400">
        <f ca="1">OFFSET(PO!$P$12,ROW($E67)-ROW(F$12),0)</f>
        <v>155</v>
      </c>
      <c r="G67" s="400"/>
      <c r="H67" s="400"/>
      <c r="I67" s="400"/>
      <c r="J67" s="400"/>
      <c r="K67" s="400"/>
      <c r="L67" s="400"/>
      <c r="M67" s="400"/>
      <c r="N67" s="400"/>
      <c r="O67" s="400"/>
      <c r="U67" s="215"/>
    </row>
    <row r="68" spans="1:21" s="4" customFormat="1" ht="26.4" x14ac:dyDescent="0.25">
      <c r="A68" s="128" t="str">
        <f ca="1">OFFSET(PO!J$12,ROW(A68)-ROW($A$12),0)</f>
        <v>Serviço</v>
      </c>
      <c r="B68" s="130" t="str">
        <f ca="1">IF($A68=0,"",OFFSET(PO!K$12,ROW(B68)-ROW(B$12),0))</f>
        <v>6.2.</v>
      </c>
      <c r="C68" s="127" t="str">
        <f ca="1">IF(OFFSET(PO!N$12,ROW(C68)-ROW(C$12),0)=0,"",OFFSET(PO!N$12,ROW(C68)-ROW(C$12),0))</f>
        <v>RECONSTRUÇÃO DE CERCAS, PARREIRAS OU OUTRAS INTERVENÇÕES</v>
      </c>
      <c r="D68" s="129" t="str">
        <f ca="1">IF(OFFSET(PO!O$12,ROW(D68)-ROW(D$12),0)=0,"",OFFSET(PO!O$12,ROW(D68)-ROW(D$12),0))</f>
        <v>M</v>
      </c>
      <c r="E68" s="165">
        <f ca="1">IF($A68&lt;&gt;"Serviço",0,ROUND(SUMIF($F$9:$P$9,"&lt;&gt;",$F68:$P68),15-13*PO!$X$3))</f>
        <v>155</v>
      </c>
      <c r="F68" s="400">
        <f ca="1">OFFSET(PO!$P$12,ROW($E68)-ROW(F$12),0)</f>
        <v>155</v>
      </c>
      <c r="G68" s="400"/>
      <c r="H68" s="400"/>
      <c r="I68" s="400"/>
      <c r="J68" s="400"/>
      <c r="K68" s="400"/>
      <c r="L68" s="400"/>
      <c r="M68" s="400"/>
      <c r="N68" s="400"/>
      <c r="O68" s="400"/>
      <c r="U68" s="215"/>
    </row>
    <row r="69" spans="1:21" s="4" customFormat="1" x14ac:dyDescent="0.25">
      <c r="A69" s="128" t="str">
        <f ca="1">OFFSET(PO!J$12,ROW(A69)-ROW($A$12),0)</f>
        <v>Serviço</v>
      </c>
      <c r="B69" s="130" t="str">
        <f ca="1">IF($A69=0,"",OFFSET(PO!K$12,ROW(B69)-ROW(B$12),0))</f>
        <v>6.3.</v>
      </c>
      <c r="C69" s="127" t="str">
        <f ca="1">IF(OFFSET(PO!N$12,ROW(C69)-ROW(C$12),0)=0,"",OFFSET(PO!N$12,ROW(C69)-ROW(C$12),0))</f>
        <v>HIDROSSEMEADURA EM ENCOSTAS ESCAVADAS</v>
      </c>
      <c r="D69" s="129" t="str">
        <f ca="1">IF(OFFSET(PO!O$12,ROW(D69)-ROW(D$12),0)=0,"",OFFSET(PO!O$12,ROW(D69)-ROW(D$12),0))</f>
        <v>M2</v>
      </c>
      <c r="E69" s="165">
        <f ca="1">IF($A69&lt;&gt;"Serviço",0,ROUND(SUMIF($F$9:$P$9,"&lt;&gt;",$F69:$P69),15-13*PO!$X$3))</f>
        <v>4500</v>
      </c>
      <c r="F69" s="400">
        <f ca="1">OFFSET(PO!$P$12,ROW($E69)-ROW(F$12),0)</f>
        <v>4500</v>
      </c>
      <c r="G69" s="400"/>
      <c r="H69" s="400"/>
      <c r="I69" s="400"/>
      <c r="J69" s="400"/>
      <c r="K69" s="400"/>
      <c r="L69" s="400"/>
      <c r="M69" s="400"/>
      <c r="N69" s="400"/>
      <c r="O69" s="400"/>
      <c r="U69" s="215"/>
    </row>
    <row r="70" spans="1:21" s="4" customFormat="1" ht="26.4" x14ac:dyDescent="0.25">
      <c r="A70" s="128" t="str">
        <f ca="1">OFFSET(PO!J$12,ROW(A70)-ROW($A$12),0)</f>
        <v>Serviço</v>
      </c>
      <c r="B70" s="130" t="str">
        <f ca="1">IF($A70=0,"",OFFSET(PO!K$12,ROW(B70)-ROW(B$12),0))</f>
        <v>6.4.</v>
      </c>
      <c r="C70" s="127" t="str">
        <f ca="1">IF(OFFSET(PO!N$12,ROW(C70)-ROW(C$12),0)=0,"",OFFSET(PO!N$12,ROW(C70)-ROW(C$12),0))</f>
        <v>PLANTIO DE GRAMA ESMERALDA OU SÃO CARLOS OU CURITIBANA, EM PLACAS. AF_05/2022</v>
      </c>
      <c r="D70" s="129" t="str">
        <f ca="1">IF(OFFSET(PO!O$12,ROW(D70)-ROW(D$12),0)=0,"",OFFSET(PO!O$12,ROW(D70)-ROW(D$12),0))</f>
        <v>M2</v>
      </c>
      <c r="E70" s="165">
        <f ca="1">IF($A70&lt;&gt;"Serviço",0,ROUND(SUMIF($F$9:$P$9,"&lt;&gt;",$F70:$P70),15-13*PO!$X$3))</f>
        <v>110</v>
      </c>
      <c r="F70" s="400">
        <f ca="1">OFFSET(PO!$P$12,ROW($E70)-ROW(F$12),0)</f>
        <v>110</v>
      </c>
      <c r="G70" s="400"/>
      <c r="H70" s="400"/>
      <c r="I70" s="400"/>
      <c r="J70" s="400"/>
      <c r="K70" s="400"/>
      <c r="L70" s="400"/>
      <c r="M70" s="400"/>
      <c r="N70" s="400"/>
      <c r="O70" s="400"/>
      <c r="U70" s="215"/>
    </row>
    <row r="71" spans="1:21" s="4" customFormat="1" x14ac:dyDescent="0.25">
      <c r="A71" s="83"/>
      <c r="B71" s="83"/>
      <c r="C71" s="83"/>
      <c r="D71" s="83"/>
      <c r="E71" s="83"/>
      <c r="F71" s="83"/>
      <c r="G71" s="83"/>
      <c r="H71" s="83"/>
      <c r="I71" s="83"/>
      <c r="J71" s="83"/>
      <c r="K71" s="83"/>
      <c r="L71" s="83"/>
      <c r="M71" s="83"/>
      <c r="N71" s="83"/>
      <c r="O71" s="83"/>
      <c r="U71" s="83"/>
    </row>
    <row r="72" spans="1:21" s="4" customFormat="1" x14ac:dyDescent="0.25">
      <c r="B72" s="9"/>
      <c r="C72" s="14"/>
      <c r="D72" s="9"/>
      <c r="E72" s="16"/>
      <c r="F72" s="16"/>
      <c r="G72" s="16"/>
      <c r="H72" s="16"/>
      <c r="I72" s="16"/>
      <c r="J72" s="16"/>
      <c r="K72" s="16"/>
      <c r="L72" s="16"/>
      <c r="M72" s="16"/>
      <c r="N72" s="16"/>
      <c r="O72" s="16"/>
      <c r="U72" s="16"/>
    </row>
    <row r="73" spans="1:21" s="4" customFormat="1" x14ac:dyDescent="0.25">
      <c r="B73" s="372" t="str">
        <f>PO!$K$82</f>
        <v>BENTO GONÇALVES/RS</v>
      </c>
      <c r="C73" s="372"/>
      <c r="D73" s="9"/>
      <c r="E73" s="16"/>
      <c r="F73" s="16"/>
      <c r="G73" s="16"/>
      <c r="H73" s="16"/>
      <c r="I73" s="16"/>
      <c r="J73" s="16"/>
      <c r="K73" s="16"/>
      <c r="L73" s="16"/>
      <c r="M73" s="16"/>
      <c r="N73" s="16"/>
      <c r="O73" s="16"/>
      <c r="U73" s="16"/>
    </row>
    <row r="74" spans="1:21" s="4" customFormat="1" x14ac:dyDescent="0.25">
      <c r="B74" s="113" t="s">
        <v>120</v>
      </c>
      <c r="C74" s="14"/>
      <c r="D74" s="9"/>
      <c r="E74" s="16"/>
      <c r="F74" s="16"/>
      <c r="G74" s="16"/>
      <c r="H74" s="16"/>
      <c r="I74" s="16"/>
      <c r="J74" s="16"/>
      <c r="K74" s="16"/>
      <c r="L74" s="16"/>
      <c r="M74" s="16"/>
      <c r="N74" s="16"/>
      <c r="O74" s="16"/>
      <c r="U74" s="16"/>
    </row>
    <row r="75" spans="1:21" s="4" customFormat="1" x14ac:dyDescent="0.25">
      <c r="B75" s="14"/>
      <c r="C75" s="14"/>
      <c r="D75" s="9"/>
      <c r="E75" s="16"/>
      <c r="F75" s="16"/>
      <c r="G75" s="16"/>
      <c r="H75" s="16"/>
      <c r="I75" s="16"/>
      <c r="J75" s="16"/>
      <c r="K75" s="16"/>
      <c r="L75" s="16"/>
      <c r="M75" s="16"/>
      <c r="N75" s="16"/>
      <c r="O75" s="16"/>
      <c r="U75" s="16"/>
    </row>
    <row r="76" spans="1:21" s="4" customFormat="1" x14ac:dyDescent="0.25">
      <c r="B76" s="373">
        <f ca="1">PO!$K$85</f>
        <v>45812</v>
      </c>
      <c r="C76" s="373"/>
      <c r="D76" s="9"/>
      <c r="E76" s="16"/>
      <c r="F76" s="16"/>
      <c r="G76" s="16"/>
      <c r="H76" s="16"/>
      <c r="I76" s="16"/>
      <c r="J76" s="16"/>
      <c r="K76" s="16"/>
      <c r="L76" s="16"/>
      <c r="M76" s="16"/>
      <c r="N76" s="16"/>
      <c r="O76" s="16"/>
      <c r="U76" s="16"/>
    </row>
    <row r="77" spans="1:21" s="4" customFormat="1" x14ac:dyDescent="0.25">
      <c r="B77" s="142" t="s">
        <v>121</v>
      </c>
      <c r="C77" s="143"/>
      <c r="D77" s="9"/>
      <c r="E77" s="16"/>
      <c r="F77" s="16"/>
      <c r="G77" s="16"/>
      <c r="H77" s="16"/>
      <c r="I77" s="16"/>
      <c r="J77" s="16"/>
      <c r="K77" s="16"/>
      <c r="L77" s="16"/>
      <c r="M77" s="16"/>
      <c r="N77" s="16"/>
      <c r="O77" s="16"/>
      <c r="U77" s="16"/>
    </row>
  </sheetData>
  <sheetProtection password="C95B" sheet="1" objects="1" scenarios="1"/>
  <mergeCells count="2">
    <mergeCell ref="B73:C73"/>
    <mergeCell ref="B76:C76"/>
  </mergeCells>
  <phoneticPr fontId="25" type="noConversion"/>
  <conditionalFormatting sqref="D11:E11 D13:E19 D47:E51 D24:E30 D66:E68 D70:E70">
    <cfRule type="expression" dxfId="294" priority="3017" stopIfTrue="1">
      <formula>$A11="Meta"</formula>
    </cfRule>
    <cfRule type="expression" dxfId="293" priority="3018" stopIfTrue="1">
      <formula>$A11&lt;&gt;"Serviço"</formula>
    </cfRule>
  </conditionalFormatting>
  <conditionalFormatting sqref="C11 C13:C19 C47:C51 C24:C30 C66:C68 C70">
    <cfRule type="expression" dxfId="292" priority="3019" stopIfTrue="1">
      <formula>$A11="Meta"</formula>
    </cfRule>
    <cfRule type="expression" dxfId="291" priority="3020" stopIfTrue="1">
      <formula>$A11&lt;&gt;"Serviço"</formula>
    </cfRule>
  </conditionalFormatting>
  <conditionalFormatting sqref="A11:B11 A13:B19 A47:B51 A24:B30 A66:B68 A70:B70">
    <cfRule type="expression" dxfId="290" priority="3021" stopIfTrue="1">
      <formula>$A11="Meta"</formula>
    </cfRule>
    <cfRule type="expression" dxfId="289" priority="3022" stopIfTrue="1">
      <formula>LEFT($A11,5)="Nível"</formula>
    </cfRule>
    <cfRule type="expression" dxfId="288" priority="3023" stopIfTrue="1">
      <formula>$A11=0</formula>
    </cfRule>
  </conditionalFormatting>
  <conditionalFormatting sqref="U11 U13:U19 F13:O19 U22:U70 F22:O70">
    <cfRule type="expression" dxfId="287" priority="3033" stopIfTrue="1">
      <formula>$A11="Meta"</formula>
    </cfRule>
    <cfRule type="expression" dxfId="286" priority="3034" stopIfTrue="1">
      <formula>OR(F$9=0,$A11&lt;&gt;"Serviço")</formula>
    </cfRule>
    <cfRule type="expression" dxfId="285" priority="3035" stopIfTrue="1">
      <formula>TipoOrçamento="Licitado"</formula>
    </cfRule>
  </conditionalFormatting>
  <conditionalFormatting sqref="U9">
    <cfRule type="expression" dxfId="284" priority="2455" stopIfTrue="1">
      <formula>AND(T9=0,U9=0)</formula>
    </cfRule>
    <cfRule type="expression" dxfId="283" priority="2456" stopIfTrue="1">
      <formula>TipoOrçamento="Licitado"</formula>
    </cfRule>
  </conditionalFormatting>
  <conditionalFormatting sqref="F11:O11">
    <cfRule type="expression" dxfId="282" priority="2415" stopIfTrue="1">
      <formula>$A11="Meta"</formula>
    </cfRule>
    <cfRule type="expression" dxfId="281" priority="2416" stopIfTrue="1">
      <formula>OR(F$9=0,$A11&lt;&gt;"Serviço")</formula>
    </cfRule>
    <cfRule type="expression" dxfId="280" priority="2417" stopIfTrue="1">
      <formula>TipoOrçamento="Licitado"</formula>
    </cfRule>
  </conditionalFormatting>
  <conditionalFormatting sqref="F9:O9">
    <cfRule type="expression" dxfId="279" priority="2413" stopIfTrue="1">
      <formula>AND(E9=0,F9=0)</formula>
    </cfRule>
    <cfRule type="expression" dxfId="278" priority="2414" stopIfTrue="1">
      <formula>TipoOrçamento="Licitado"</formula>
    </cfRule>
  </conditionalFormatting>
  <conditionalFormatting sqref="D32:E32">
    <cfRule type="expression" dxfId="277" priority="563" stopIfTrue="1">
      <formula>$A32="Meta"</formula>
    </cfRule>
    <cfRule type="expression" dxfId="276" priority="564" stopIfTrue="1">
      <formula>$A32&lt;&gt;"Serviço"</formula>
    </cfRule>
  </conditionalFormatting>
  <conditionalFormatting sqref="C32">
    <cfRule type="expression" dxfId="275" priority="565" stopIfTrue="1">
      <formula>$A32="Meta"</formula>
    </cfRule>
    <cfRule type="expression" dxfId="274" priority="566" stopIfTrue="1">
      <formula>$A32&lt;&gt;"Serviço"</formula>
    </cfRule>
  </conditionalFormatting>
  <conditionalFormatting sqref="A32:B32">
    <cfRule type="expression" dxfId="273" priority="567" stopIfTrue="1">
      <formula>$A32="Meta"</formula>
    </cfRule>
    <cfRule type="expression" dxfId="272" priority="568" stopIfTrue="1">
      <formula>LEFT($A32,5)="Nível"</formula>
    </cfRule>
    <cfRule type="expression" dxfId="271" priority="569" stopIfTrue="1">
      <formula>$A32=0</formula>
    </cfRule>
  </conditionalFormatting>
  <conditionalFormatting sqref="D53:E62">
    <cfRule type="expression" dxfId="270" priority="550" stopIfTrue="1">
      <formula>$A53="Meta"</formula>
    </cfRule>
    <cfRule type="expression" dxfId="269" priority="551" stopIfTrue="1">
      <formula>$A53&lt;&gt;"Serviço"</formula>
    </cfRule>
  </conditionalFormatting>
  <conditionalFormatting sqref="C53:C62">
    <cfRule type="expression" dxfId="268" priority="552" stopIfTrue="1">
      <formula>$A53="Meta"</formula>
    </cfRule>
    <cfRule type="expression" dxfId="267" priority="553" stopIfTrue="1">
      <formula>$A53&lt;&gt;"Serviço"</formula>
    </cfRule>
  </conditionalFormatting>
  <conditionalFormatting sqref="A53:B62">
    <cfRule type="expression" dxfId="266" priority="554" stopIfTrue="1">
      <formula>$A53="Meta"</formula>
    </cfRule>
    <cfRule type="expression" dxfId="265" priority="555" stopIfTrue="1">
      <formula>LEFT($A53,5)="Nível"</formula>
    </cfRule>
    <cfRule type="expression" dxfId="264" priority="556" stopIfTrue="1">
      <formula>$A53=0</formula>
    </cfRule>
  </conditionalFormatting>
  <conditionalFormatting sqref="D46:E46">
    <cfRule type="expression" dxfId="263" priority="537" stopIfTrue="1">
      <formula>$A46="Meta"</formula>
    </cfRule>
    <cfRule type="expression" dxfId="262" priority="538" stopIfTrue="1">
      <formula>$A46&lt;&gt;"Serviço"</formula>
    </cfRule>
  </conditionalFormatting>
  <conditionalFormatting sqref="C46">
    <cfRule type="expression" dxfId="261" priority="539" stopIfTrue="1">
      <formula>$A46="Meta"</formula>
    </cfRule>
    <cfRule type="expression" dxfId="260" priority="540" stopIfTrue="1">
      <formula>$A46&lt;&gt;"Serviço"</formula>
    </cfRule>
  </conditionalFormatting>
  <conditionalFormatting sqref="A46:B46">
    <cfRule type="expression" dxfId="259" priority="541" stopIfTrue="1">
      <formula>$A46="Meta"</formula>
    </cfRule>
    <cfRule type="expression" dxfId="258" priority="542" stopIfTrue="1">
      <formula>LEFT($A46,5)="Nível"</formula>
    </cfRule>
    <cfRule type="expression" dxfId="257" priority="543" stopIfTrue="1">
      <formula>$A46=0</formula>
    </cfRule>
  </conditionalFormatting>
  <conditionalFormatting sqref="D33:E33">
    <cfRule type="expression" dxfId="256" priority="498" stopIfTrue="1">
      <formula>$A33="Meta"</formula>
    </cfRule>
    <cfRule type="expression" dxfId="255" priority="499" stopIfTrue="1">
      <formula>$A33&lt;&gt;"Serviço"</formula>
    </cfRule>
  </conditionalFormatting>
  <conditionalFormatting sqref="C33">
    <cfRule type="expression" dxfId="254" priority="500" stopIfTrue="1">
      <formula>$A33="Meta"</formula>
    </cfRule>
    <cfRule type="expression" dxfId="253" priority="501" stopIfTrue="1">
      <formula>$A33&lt;&gt;"Serviço"</formula>
    </cfRule>
  </conditionalFormatting>
  <conditionalFormatting sqref="A33:B33">
    <cfRule type="expression" dxfId="252" priority="502" stopIfTrue="1">
      <formula>$A33="Meta"</formula>
    </cfRule>
    <cfRule type="expression" dxfId="251" priority="503" stopIfTrue="1">
      <formula>LEFT($A33,5)="Nível"</formula>
    </cfRule>
    <cfRule type="expression" dxfId="250" priority="504" stopIfTrue="1">
      <formula>$A33=0</formula>
    </cfRule>
  </conditionalFormatting>
  <conditionalFormatting sqref="D34:E34">
    <cfRule type="expression" dxfId="249" priority="485" stopIfTrue="1">
      <formula>$A34="Meta"</formula>
    </cfRule>
    <cfRule type="expression" dxfId="248" priority="486" stopIfTrue="1">
      <formula>$A34&lt;&gt;"Serviço"</formula>
    </cfRule>
  </conditionalFormatting>
  <conditionalFormatting sqref="C34">
    <cfRule type="expression" dxfId="247" priority="487" stopIfTrue="1">
      <formula>$A34="Meta"</formula>
    </cfRule>
    <cfRule type="expression" dxfId="246" priority="488" stopIfTrue="1">
      <formula>$A34&lt;&gt;"Serviço"</formula>
    </cfRule>
  </conditionalFormatting>
  <conditionalFormatting sqref="A34:B34">
    <cfRule type="expression" dxfId="245" priority="489" stopIfTrue="1">
      <formula>$A34="Meta"</formula>
    </cfRule>
    <cfRule type="expression" dxfId="244" priority="490" stopIfTrue="1">
      <formula>LEFT($A34,5)="Nível"</formula>
    </cfRule>
    <cfRule type="expression" dxfId="243" priority="491" stopIfTrue="1">
      <formula>$A34=0</formula>
    </cfRule>
  </conditionalFormatting>
  <conditionalFormatting sqref="D31:E31">
    <cfRule type="expression" dxfId="242" priority="472" stopIfTrue="1">
      <formula>$A31="Meta"</formula>
    </cfRule>
    <cfRule type="expression" dxfId="241" priority="473" stopIfTrue="1">
      <formula>$A31&lt;&gt;"Serviço"</formula>
    </cfRule>
  </conditionalFormatting>
  <conditionalFormatting sqref="C31">
    <cfRule type="expression" dxfId="240" priority="474" stopIfTrue="1">
      <formula>$A31="Meta"</formula>
    </cfRule>
    <cfRule type="expression" dxfId="239" priority="475" stopIfTrue="1">
      <formula>$A31&lt;&gt;"Serviço"</formula>
    </cfRule>
  </conditionalFormatting>
  <conditionalFormatting sqref="A31:B31">
    <cfRule type="expression" dxfId="238" priority="476" stopIfTrue="1">
      <formula>$A31="Meta"</formula>
    </cfRule>
    <cfRule type="expression" dxfId="237" priority="477" stopIfTrue="1">
      <formula>LEFT($A31,5)="Nível"</formula>
    </cfRule>
    <cfRule type="expression" dxfId="236" priority="478" stopIfTrue="1">
      <formula>$A31=0</formula>
    </cfRule>
  </conditionalFormatting>
  <conditionalFormatting sqref="D39:E39">
    <cfRule type="expression" dxfId="235" priority="459" stopIfTrue="1">
      <formula>$A39="Meta"</formula>
    </cfRule>
    <cfRule type="expression" dxfId="234" priority="460" stopIfTrue="1">
      <formula>$A39&lt;&gt;"Serviço"</formula>
    </cfRule>
  </conditionalFormatting>
  <conditionalFormatting sqref="C39">
    <cfRule type="expression" dxfId="233" priority="461" stopIfTrue="1">
      <formula>$A39="Meta"</formula>
    </cfRule>
    <cfRule type="expression" dxfId="232" priority="462" stopIfTrue="1">
      <formula>$A39&lt;&gt;"Serviço"</formula>
    </cfRule>
  </conditionalFormatting>
  <conditionalFormatting sqref="A39:B39">
    <cfRule type="expression" dxfId="231" priority="463" stopIfTrue="1">
      <formula>$A39="Meta"</formula>
    </cfRule>
    <cfRule type="expression" dxfId="230" priority="464" stopIfTrue="1">
      <formula>LEFT($A39,5)="Nível"</formula>
    </cfRule>
    <cfRule type="expression" dxfId="229" priority="465" stopIfTrue="1">
      <formula>$A39=0</formula>
    </cfRule>
  </conditionalFormatting>
  <conditionalFormatting sqref="D36:E36">
    <cfRule type="expression" dxfId="228" priority="446" stopIfTrue="1">
      <formula>$A36="Meta"</formula>
    </cfRule>
    <cfRule type="expression" dxfId="227" priority="447" stopIfTrue="1">
      <formula>$A36&lt;&gt;"Serviço"</formula>
    </cfRule>
  </conditionalFormatting>
  <conditionalFormatting sqref="C36">
    <cfRule type="expression" dxfId="226" priority="448" stopIfTrue="1">
      <formula>$A36="Meta"</formula>
    </cfRule>
    <cfRule type="expression" dxfId="225" priority="449" stopIfTrue="1">
      <formula>$A36&lt;&gt;"Serviço"</formula>
    </cfRule>
  </conditionalFormatting>
  <conditionalFormatting sqref="A36:B36">
    <cfRule type="expression" dxfId="224" priority="450" stopIfTrue="1">
      <formula>$A36="Meta"</formula>
    </cfRule>
    <cfRule type="expression" dxfId="223" priority="451" stopIfTrue="1">
      <formula>LEFT($A36,5)="Nível"</formula>
    </cfRule>
    <cfRule type="expression" dxfId="222" priority="452" stopIfTrue="1">
      <formula>$A36=0</formula>
    </cfRule>
  </conditionalFormatting>
  <conditionalFormatting sqref="D41:E41">
    <cfRule type="expression" dxfId="221" priority="433" stopIfTrue="1">
      <formula>$A41="Meta"</formula>
    </cfRule>
    <cfRule type="expression" dxfId="220" priority="434" stopIfTrue="1">
      <formula>$A41&lt;&gt;"Serviço"</formula>
    </cfRule>
  </conditionalFormatting>
  <conditionalFormatting sqref="C41">
    <cfRule type="expression" dxfId="219" priority="435" stopIfTrue="1">
      <formula>$A41="Meta"</formula>
    </cfRule>
    <cfRule type="expression" dxfId="218" priority="436" stopIfTrue="1">
      <formula>$A41&lt;&gt;"Serviço"</formula>
    </cfRule>
  </conditionalFormatting>
  <conditionalFormatting sqref="A41:B41">
    <cfRule type="expression" dxfId="217" priority="437" stopIfTrue="1">
      <formula>$A41="Meta"</formula>
    </cfRule>
    <cfRule type="expression" dxfId="216" priority="438" stopIfTrue="1">
      <formula>LEFT($A41,5)="Nível"</formula>
    </cfRule>
    <cfRule type="expression" dxfId="215" priority="439" stopIfTrue="1">
      <formula>$A41=0</formula>
    </cfRule>
  </conditionalFormatting>
  <conditionalFormatting sqref="D35:E35">
    <cfRule type="expression" dxfId="214" priority="420" stopIfTrue="1">
      <formula>$A35="Meta"</formula>
    </cfRule>
    <cfRule type="expression" dxfId="213" priority="421" stopIfTrue="1">
      <formula>$A35&lt;&gt;"Serviço"</formula>
    </cfRule>
  </conditionalFormatting>
  <conditionalFormatting sqref="C35">
    <cfRule type="expression" dxfId="212" priority="422" stopIfTrue="1">
      <formula>$A35="Meta"</formula>
    </cfRule>
    <cfRule type="expression" dxfId="211" priority="423" stopIfTrue="1">
      <formula>$A35&lt;&gt;"Serviço"</formula>
    </cfRule>
  </conditionalFormatting>
  <conditionalFormatting sqref="A35:B35">
    <cfRule type="expression" dxfId="210" priority="424" stopIfTrue="1">
      <formula>$A35="Meta"</formula>
    </cfRule>
    <cfRule type="expression" dxfId="209" priority="425" stopIfTrue="1">
      <formula>LEFT($A35,5)="Nível"</formula>
    </cfRule>
    <cfRule type="expression" dxfId="208" priority="426" stopIfTrue="1">
      <formula>$A35=0</formula>
    </cfRule>
  </conditionalFormatting>
  <conditionalFormatting sqref="D42:E42">
    <cfRule type="expression" dxfId="207" priority="407" stopIfTrue="1">
      <formula>$A42="Meta"</formula>
    </cfRule>
    <cfRule type="expression" dxfId="206" priority="408" stopIfTrue="1">
      <formula>$A42&lt;&gt;"Serviço"</formula>
    </cfRule>
  </conditionalFormatting>
  <conditionalFormatting sqref="C42">
    <cfRule type="expression" dxfId="205" priority="409" stopIfTrue="1">
      <formula>$A42="Meta"</formula>
    </cfRule>
    <cfRule type="expression" dxfId="204" priority="410" stopIfTrue="1">
      <formula>$A42&lt;&gt;"Serviço"</formula>
    </cfRule>
  </conditionalFormatting>
  <conditionalFormatting sqref="A42:B42">
    <cfRule type="expression" dxfId="203" priority="411" stopIfTrue="1">
      <formula>$A42="Meta"</formula>
    </cfRule>
    <cfRule type="expression" dxfId="202" priority="412" stopIfTrue="1">
      <formula>LEFT($A42,5)="Nível"</formula>
    </cfRule>
    <cfRule type="expression" dxfId="201" priority="413" stopIfTrue="1">
      <formula>$A42=0</formula>
    </cfRule>
  </conditionalFormatting>
  <conditionalFormatting sqref="D43:E43">
    <cfRule type="expression" dxfId="200" priority="394" stopIfTrue="1">
      <formula>$A43="Meta"</formula>
    </cfRule>
    <cfRule type="expression" dxfId="199" priority="395" stopIfTrue="1">
      <formula>$A43&lt;&gt;"Serviço"</formula>
    </cfRule>
  </conditionalFormatting>
  <conditionalFormatting sqref="C43">
    <cfRule type="expression" dxfId="198" priority="396" stopIfTrue="1">
      <formula>$A43="Meta"</formula>
    </cfRule>
    <cfRule type="expression" dxfId="197" priority="397" stopIfTrue="1">
      <formula>$A43&lt;&gt;"Serviço"</formula>
    </cfRule>
  </conditionalFormatting>
  <conditionalFormatting sqref="A43:B43">
    <cfRule type="expression" dxfId="196" priority="398" stopIfTrue="1">
      <formula>$A43="Meta"</formula>
    </cfRule>
    <cfRule type="expression" dxfId="195" priority="399" stopIfTrue="1">
      <formula>LEFT($A43,5)="Nível"</formula>
    </cfRule>
    <cfRule type="expression" dxfId="194" priority="400" stopIfTrue="1">
      <formula>$A43=0</formula>
    </cfRule>
  </conditionalFormatting>
  <conditionalFormatting sqref="D44:E44">
    <cfRule type="expression" dxfId="193" priority="381" stopIfTrue="1">
      <formula>$A44="Meta"</formula>
    </cfRule>
    <cfRule type="expression" dxfId="192" priority="382" stopIfTrue="1">
      <formula>$A44&lt;&gt;"Serviço"</formula>
    </cfRule>
  </conditionalFormatting>
  <conditionalFormatting sqref="C44">
    <cfRule type="expression" dxfId="191" priority="383" stopIfTrue="1">
      <formula>$A44="Meta"</formula>
    </cfRule>
    <cfRule type="expression" dxfId="190" priority="384" stopIfTrue="1">
      <formula>$A44&lt;&gt;"Serviço"</formula>
    </cfRule>
  </conditionalFormatting>
  <conditionalFormatting sqref="A44:B44">
    <cfRule type="expression" dxfId="189" priority="385" stopIfTrue="1">
      <formula>$A44="Meta"</formula>
    </cfRule>
    <cfRule type="expression" dxfId="188" priority="386" stopIfTrue="1">
      <formula>LEFT($A44,5)="Nível"</formula>
    </cfRule>
    <cfRule type="expression" dxfId="187" priority="387" stopIfTrue="1">
      <formula>$A44=0</formula>
    </cfRule>
  </conditionalFormatting>
  <conditionalFormatting sqref="D52:E52">
    <cfRule type="expression" dxfId="186" priority="342" stopIfTrue="1">
      <formula>$A52="Meta"</formula>
    </cfRule>
    <cfRule type="expression" dxfId="185" priority="343" stopIfTrue="1">
      <formula>$A52&lt;&gt;"Serviço"</formula>
    </cfRule>
  </conditionalFormatting>
  <conditionalFormatting sqref="C52">
    <cfRule type="expression" dxfId="184" priority="344" stopIfTrue="1">
      <formula>$A52="Meta"</formula>
    </cfRule>
    <cfRule type="expression" dxfId="183" priority="345" stopIfTrue="1">
      <formula>$A52&lt;&gt;"Serviço"</formula>
    </cfRule>
  </conditionalFormatting>
  <conditionalFormatting sqref="A52:B52">
    <cfRule type="expression" dxfId="182" priority="346" stopIfTrue="1">
      <formula>$A52="Meta"</formula>
    </cfRule>
    <cfRule type="expression" dxfId="181" priority="347" stopIfTrue="1">
      <formula>LEFT($A52,5)="Nível"</formula>
    </cfRule>
    <cfRule type="expression" dxfId="180" priority="348" stopIfTrue="1">
      <formula>$A52=0</formula>
    </cfRule>
  </conditionalFormatting>
  <conditionalFormatting sqref="D63:E63">
    <cfRule type="expression" dxfId="179" priority="316" stopIfTrue="1">
      <formula>$A63="Meta"</formula>
    </cfRule>
    <cfRule type="expression" dxfId="178" priority="317" stopIfTrue="1">
      <formula>$A63&lt;&gt;"Serviço"</formula>
    </cfRule>
  </conditionalFormatting>
  <conditionalFormatting sqref="C63">
    <cfRule type="expression" dxfId="177" priority="318" stopIfTrue="1">
      <formula>$A63="Meta"</formula>
    </cfRule>
    <cfRule type="expression" dxfId="176" priority="319" stopIfTrue="1">
      <formula>$A63&lt;&gt;"Serviço"</formula>
    </cfRule>
  </conditionalFormatting>
  <conditionalFormatting sqref="A63:B63">
    <cfRule type="expression" dxfId="175" priority="320" stopIfTrue="1">
      <formula>$A63="Meta"</formula>
    </cfRule>
    <cfRule type="expression" dxfId="174" priority="321" stopIfTrue="1">
      <formula>LEFT($A63,5)="Nível"</formula>
    </cfRule>
    <cfRule type="expression" dxfId="173" priority="322" stopIfTrue="1">
      <formula>$A63=0</formula>
    </cfRule>
  </conditionalFormatting>
  <conditionalFormatting sqref="D64:E64">
    <cfRule type="expression" dxfId="172" priority="303" stopIfTrue="1">
      <formula>$A64="Meta"</formula>
    </cfRule>
    <cfRule type="expression" dxfId="171" priority="304" stopIfTrue="1">
      <formula>$A64&lt;&gt;"Serviço"</formula>
    </cfRule>
  </conditionalFormatting>
  <conditionalFormatting sqref="C64">
    <cfRule type="expression" dxfId="170" priority="305" stopIfTrue="1">
      <formula>$A64="Meta"</formula>
    </cfRule>
    <cfRule type="expression" dxfId="169" priority="306" stopIfTrue="1">
      <formula>$A64&lt;&gt;"Serviço"</formula>
    </cfRule>
  </conditionalFormatting>
  <conditionalFormatting sqref="A64:B64">
    <cfRule type="expression" dxfId="168" priority="307" stopIfTrue="1">
      <formula>$A64="Meta"</formula>
    </cfRule>
    <cfRule type="expression" dxfId="167" priority="308" stopIfTrue="1">
      <formula>LEFT($A64,5)="Nível"</formula>
    </cfRule>
    <cfRule type="expression" dxfId="166" priority="309" stopIfTrue="1">
      <formula>$A64=0</formula>
    </cfRule>
  </conditionalFormatting>
  <conditionalFormatting sqref="D65:E65">
    <cfRule type="expression" dxfId="165" priority="290" stopIfTrue="1">
      <formula>$A65="Meta"</formula>
    </cfRule>
    <cfRule type="expression" dxfId="164" priority="291" stopIfTrue="1">
      <formula>$A65&lt;&gt;"Serviço"</formula>
    </cfRule>
  </conditionalFormatting>
  <conditionalFormatting sqref="C65">
    <cfRule type="expression" dxfId="163" priority="292" stopIfTrue="1">
      <formula>$A65="Meta"</formula>
    </cfRule>
    <cfRule type="expression" dxfId="162" priority="293" stopIfTrue="1">
      <formula>$A65&lt;&gt;"Serviço"</formula>
    </cfRule>
  </conditionalFormatting>
  <conditionalFormatting sqref="A65:B65">
    <cfRule type="expression" dxfId="161" priority="294" stopIfTrue="1">
      <formula>$A65="Meta"</formula>
    </cfRule>
    <cfRule type="expression" dxfId="160" priority="295" stopIfTrue="1">
      <formula>LEFT($A65,5)="Nível"</formula>
    </cfRule>
    <cfRule type="expression" dxfId="159" priority="296" stopIfTrue="1">
      <formula>$A65=0</formula>
    </cfRule>
  </conditionalFormatting>
  <conditionalFormatting sqref="D45:E45">
    <cfRule type="expression" dxfId="158" priority="277" stopIfTrue="1">
      <formula>$A45="Meta"</formula>
    </cfRule>
    <cfRule type="expression" dxfId="157" priority="278" stopIfTrue="1">
      <formula>$A45&lt;&gt;"Serviço"</formula>
    </cfRule>
  </conditionalFormatting>
  <conditionalFormatting sqref="C45">
    <cfRule type="expression" dxfId="156" priority="279" stopIfTrue="1">
      <formula>$A45="Meta"</formula>
    </cfRule>
    <cfRule type="expression" dxfId="155" priority="280" stopIfTrue="1">
      <formula>$A45&lt;&gt;"Serviço"</formula>
    </cfRule>
  </conditionalFormatting>
  <conditionalFormatting sqref="A45:B45">
    <cfRule type="expression" dxfId="154" priority="281" stopIfTrue="1">
      <formula>$A45="Meta"</formula>
    </cfRule>
    <cfRule type="expression" dxfId="153" priority="282" stopIfTrue="1">
      <formula>LEFT($A45,5)="Nível"</formula>
    </cfRule>
    <cfRule type="expression" dxfId="152" priority="283" stopIfTrue="1">
      <formula>$A45=0</formula>
    </cfRule>
  </conditionalFormatting>
  <conditionalFormatting sqref="D37:E37">
    <cfRule type="expression" dxfId="151" priority="264" stopIfTrue="1">
      <formula>$A37="Meta"</formula>
    </cfRule>
    <cfRule type="expression" dxfId="150" priority="265" stopIfTrue="1">
      <formula>$A37&lt;&gt;"Serviço"</formula>
    </cfRule>
  </conditionalFormatting>
  <conditionalFormatting sqref="C37">
    <cfRule type="expression" dxfId="149" priority="266" stopIfTrue="1">
      <formula>$A37="Meta"</formula>
    </cfRule>
    <cfRule type="expression" dxfId="148" priority="267" stopIfTrue="1">
      <formula>$A37&lt;&gt;"Serviço"</formula>
    </cfRule>
  </conditionalFormatting>
  <conditionalFormatting sqref="A37:B37">
    <cfRule type="expression" dxfId="147" priority="268" stopIfTrue="1">
      <formula>$A37="Meta"</formula>
    </cfRule>
    <cfRule type="expression" dxfId="146" priority="269" stopIfTrue="1">
      <formula>LEFT($A37,5)="Nível"</formula>
    </cfRule>
    <cfRule type="expression" dxfId="145" priority="270" stopIfTrue="1">
      <formula>$A37=0</formula>
    </cfRule>
  </conditionalFormatting>
  <conditionalFormatting sqref="D38:E38">
    <cfRule type="expression" dxfId="144" priority="251" stopIfTrue="1">
      <formula>$A38="Meta"</formula>
    </cfRule>
    <cfRule type="expression" dxfId="143" priority="252" stopIfTrue="1">
      <formula>$A38&lt;&gt;"Serviço"</formula>
    </cfRule>
  </conditionalFormatting>
  <conditionalFormatting sqref="C38">
    <cfRule type="expression" dxfId="142" priority="253" stopIfTrue="1">
      <formula>$A38="Meta"</formula>
    </cfRule>
    <cfRule type="expression" dxfId="141" priority="254" stopIfTrue="1">
      <formula>$A38&lt;&gt;"Serviço"</formula>
    </cfRule>
  </conditionalFormatting>
  <conditionalFormatting sqref="A38:B38">
    <cfRule type="expression" dxfId="140" priority="255" stopIfTrue="1">
      <formula>$A38="Meta"</formula>
    </cfRule>
    <cfRule type="expression" dxfId="139" priority="256" stopIfTrue="1">
      <formula>LEFT($A38,5)="Nível"</formula>
    </cfRule>
    <cfRule type="expression" dxfId="138" priority="257" stopIfTrue="1">
      <formula>$A38=0</formula>
    </cfRule>
  </conditionalFormatting>
  <conditionalFormatting sqref="D40:E40">
    <cfRule type="expression" dxfId="137" priority="225" stopIfTrue="1">
      <formula>$A40="Meta"</formula>
    </cfRule>
    <cfRule type="expression" dxfId="136" priority="226" stopIfTrue="1">
      <formula>$A40&lt;&gt;"Serviço"</formula>
    </cfRule>
  </conditionalFormatting>
  <conditionalFormatting sqref="C40">
    <cfRule type="expression" dxfId="135" priority="227" stopIfTrue="1">
      <formula>$A40="Meta"</formula>
    </cfRule>
    <cfRule type="expression" dxfId="134" priority="228" stopIfTrue="1">
      <formula>$A40&lt;&gt;"Serviço"</formula>
    </cfRule>
  </conditionalFormatting>
  <conditionalFormatting sqref="A40:B40">
    <cfRule type="expression" dxfId="133" priority="229" stopIfTrue="1">
      <formula>$A40="Meta"</formula>
    </cfRule>
    <cfRule type="expression" dxfId="132" priority="230" stopIfTrue="1">
      <formula>LEFT($A40,5)="Nível"</formula>
    </cfRule>
    <cfRule type="expression" dxfId="131" priority="231" stopIfTrue="1">
      <formula>$A40=0</formula>
    </cfRule>
  </conditionalFormatting>
  <conditionalFormatting sqref="D22:E22">
    <cfRule type="expression" dxfId="130" priority="134" stopIfTrue="1">
      <formula>$A22="Meta"</formula>
    </cfRule>
    <cfRule type="expression" dxfId="129" priority="135" stopIfTrue="1">
      <formula>$A22&lt;&gt;"Serviço"</formula>
    </cfRule>
  </conditionalFormatting>
  <conditionalFormatting sqref="C22">
    <cfRule type="expression" dxfId="128" priority="136" stopIfTrue="1">
      <formula>$A22="Meta"</formula>
    </cfRule>
    <cfRule type="expression" dxfId="127" priority="137" stopIfTrue="1">
      <formula>$A22&lt;&gt;"Serviço"</formula>
    </cfRule>
  </conditionalFormatting>
  <conditionalFormatting sqref="A22:B22">
    <cfRule type="expression" dxfId="126" priority="138" stopIfTrue="1">
      <formula>$A22="Meta"</formula>
    </cfRule>
    <cfRule type="expression" dxfId="125" priority="139" stopIfTrue="1">
      <formula>LEFT($A22,5)="Nível"</formula>
    </cfRule>
    <cfRule type="expression" dxfId="124" priority="140" stopIfTrue="1">
      <formula>$A22=0</formula>
    </cfRule>
  </conditionalFormatting>
  <conditionalFormatting sqref="D20:E20">
    <cfRule type="expression" dxfId="123" priority="108" stopIfTrue="1">
      <formula>$A20="Meta"</formula>
    </cfRule>
    <cfRule type="expression" dxfId="122" priority="109" stopIfTrue="1">
      <formula>$A20&lt;&gt;"Serviço"</formula>
    </cfRule>
  </conditionalFormatting>
  <conditionalFormatting sqref="C20">
    <cfRule type="expression" dxfId="121" priority="110" stopIfTrue="1">
      <formula>$A20="Meta"</formula>
    </cfRule>
    <cfRule type="expression" dxfId="120" priority="111" stopIfTrue="1">
      <formula>$A20&lt;&gt;"Serviço"</formula>
    </cfRule>
  </conditionalFormatting>
  <conditionalFormatting sqref="A20:B20">
    <cfRule type="expression" dxfId="119" priority="112" stopIfTrue="1">
      <formula>$A20="Meta"</formula>
    </cfRule>
    <cfRule type="expression" dxfId="118" priority="113" stopIfTrue="1">
      <formula>LEFT($A20,5)="Nível"</formula>
    </cfRule>
    <cfRule type="expression" dxfId="117" priority="114" stopIfTrue="1">
      <formula>$A20=0</formula>
    </cfRule>
  </conditionalFormatting>
  <conditionalFormatting sqref="U20">
    <cfRule type="expression" dxfId="116" priority="115" stopIfTrue="1">
      <formula>$A20="Meta"</formula>
    </cfRule>
    <cfRule type="expression" dxfId="115" priority="116" stopIfTrue="1">
      <formula>OR(U$9=0,$A20&lt;&gt;"Serviço")</formula>
    </cfRule>
    <cfRule type="expression" dxfId="114" priority="117" stopIfTrue="1">
      <formula>TipoOrçamento="Licitado"</formula>
    </cfRule>
  </conditionalFormatting>
  <conditionalFormatting sqref="F20:O20">
    <cfRule type="expression" dxfId="113" priority="105" stopIfTrue="1">
      <formula>$A20="Meta"</formula>
    </cfRule>
    <cfRule type="expression" dxfId="112" priority="106" stopIfTrue="1">
      <formula>OR(F$9=0,$A20&lt;&gt;"Serviço")</formula>
    </cfRule>
    <cfRule type="expression" dxfId="111" priority="107" stopIfTrue="1">
      <formula>TipoOrçamento="Licitado"</formula>
    </cfRule>
  </conditionalFormatting>
  <conditionalFormatting sqref="D21:E21">
    <cfRule type="expression" dxfId="110" priority="95" stopIfTrue="1">
      <formula>$A21="Meta"</formula>
    </cfRule>
    <cfRule type="expression" dxfId="109" priority="96" stopIfTrue="1">
      <formula>$A21&lt;&gt;"Serviço"</formula>
    </cfRule>
  </conditionalFormatting>
  <conditionalFormatting sqref="C21">
    <cfRule type="expression" dxfId="108" priority="97" stopIfTrue="1">
      <formula>$A21="Meta"</formula>
    </cfRule>
    <cfRule type="expression" dxfId="107" priority="98" stopIfTrue="1">
      <formula>$A21&lt;&gt;"Serviço"</formula>
    </cfRule>
  </conditionalFormatting>
  <conditionalFormatting sqref="A21:B21">
    <cfRule type="expression" dxfId="106" priority="99" stopIfTrue="1">
      <formula>$A21="Meta"</formula>
    </cfRule>
    <cfRule type="expression" dxfId="105" priority="100" stopIfTrue="1">
      <formula>LEFT($A21,5)="Nível"</formula>
    </cfRule>
    <cfRule type="expression" dxfId="104" priority="101" stopIfTrue="1">
      <formula>$A21=0</formula>
    </cfRule>
  </conditionalFormatting>
  <conditionalFormatting sqref="U21">
    <cfRule type="expression" dxfId="103" priority="102" stopIfTrue="1">
      <formula>$A21="Meta"</formula>
    </cfRule>
    <cfRule type="expression" dxfId="102" priority="103" stopIfTrue="1">
      <formula>OR(U$9=0,$A21&lt;&gt;"Serviço")</formula>
    </cfRule>
    <cfRule type="expression" dxfId="101" priority="104" stopIfTrue="1">
      <formula>TipoOrçamento="Licitado"</formula>
    </cfRule>
  </conditionalFormatting>
  <conditionalFormatting sqref="F21:O21">
    <cfRule type="expression" dxfId="100" priority="92" stopIfTrue="1">
      <formula>$A21="Meta"</formula>
    </cfRule>
    <cfRule type="expression" dxfId="99" priority="93" stopIfTrue="1">
      <formula>OR(F$9=0,$A21&lt;&gt;"Serviço")</formula>
    </cfRule>
    <cfRule type="expression" dxfId="98" priority="94" stopIfTrue="1">
      <formula>TipoOrçamento="Licitado"</formula>
    </cfRule>
  </conditionalFormatting>
  <conditionalFormatting sqref="D23:E23">
    <cfRule type="expression" dxfId="97" priority="69" stopIfTrue="1">
      <formula>$A23="Meta"</formula>
    </cfRule>
    <cfRule type="expression" dxfId="96" priority="70" stopIfTrue="1">
      <formula>$A23&lt;&gt;"Serviço"</formula>
    </cfRule>
  </conditionalFormatting>
  <conditionalFormatting sqref="C23">
    <cfRule type="expression" dxfId="95" priority="71" stopIfTrue="1">
      <formula>$A23="Meta"</formula>
    </cfRule>
    <cfRule type="expression" dxfId="94" priority="72" stopIfTrue="1">
      <formula>$A23&lt;&gt;"Serviço"</formula>
    </cfRule>
  </conditionalFormatting>
  <conditionalFormatting sqref="A23:B23">
    <cfRule type="expression" dxfId="93" priority="73" stopIfTrue="1">
      <formula>$A23="Meta"</formula>
    </cfRule>
    <cfRule type="expression" dxfId="92" priority="74" stopIfTrue="1">
      <formula>LEFT($A23,5)="Nível"</formula>
    </cfRule>
    <cfRule type="expression" dxfId="91" priority="75" stopIfTrue="1">
      <formula>$A23=0</formula>
    </cfRule>
  </conditionalFormatting>
  <conditionalFormatting sqref="D69:E69">
    <cfRule type="expression" dxfId="90" priority="4" stopIfTrue="1">
      <formula>$A69="Meta"</formula>
    </cfRule>
    <cfRule type="expression" dxfId="89" priority="5" stopIfTrue="1">
      <formula>$A69&lt;&gt;"Serviço"</formula>
    </cfRule>
  </conditionalFormatting>
  <conditionalFormatting sqref="C69">
    <cfRule type="expression" dxfId="88" priority="6" stopIfTrue="1">
      <formula>$A69="Meta"</formula>
    </cfRule>
    <cfRule type="expression" dxfId="87" priority="7" stopIfTrue="1">
      <formula>$A69&lt;&gt;"Serviço"</formula>
    </cfRule>
  </conditionalFormatting>
  <conditionalFormatting sqref="A69:B69">
    <cfRule type="expression" dxfId="86" priority="8" stopIfTrue="1">
      <formula>$A69="Meta"</formula>
    </cfRule>
    <cfRule type="expression" dxfId="85" priority="9" stopIfTrue="1">
      <formula>LEFT($A69,5)="Nível"</formula>
    </cfRule>
    <cfRule type="expression" dxfId="84" priority="10" stopIfTrue="1">
      <formula>$A69=0</formula>
    </cfRule>
  </conditionalFormatting>
  <dataValidations count="1">
    <dataValidation type="decimal" operator="greaterThanOrEqual" allowBlank="1" showInputMessage="1" showErrorMessage="1" error="Digite apenas números._x000a__x000a_preferencialmente com 02 casas de precisão." sqref="U11 F11:O11 F14:O70 U14:U7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76 B73"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6"/>
  <sheetViews>
    <sheetView showGridLines="0" view="pageBreakPreview" topLeftCell="L1" zoomScale="70" zoomScaleSheetLayoutView="70" workbookViewId="0">
      <selection activeCell="T48" sqref="T48"/>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74" t="str">
        <f ca="1">IF(MAX($A$14:$A$37)&lt;&gt;MAX(PO!$V$12:$V$71),"ERRO: CRONOGRAMA DESATUALIZADO",IF(OR(COUNTIF($O$16:$X$16,"&gt;1")&gt;0,OFFSET($X$17,0,-1)&lt;&gt;$N$14),"ERRO: CRONOGRAMA NÃO FECHA EM 100%",""))</f>
        <v>ERRO: CRONOGRAMA NÃO FECHA EM 100%</v>
      </c>
      <c r="M8" s="374"/>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01/12/22</v>
      </c>
      <c r="P10" s="219" t="str">
        <f ca="1">IF(AND(TipoOrçamento="REPROGRAMADOAC",$N$9&gt;0,N10="Valores Totais (R$)"),"Parcela "&amp;$N$9&amp;" Executado","Parcela "&amp;P$9&amp;CHAR(10)&amp;TEXT(DATE(YEAR(DADOS!$A$48),MONTH(DADOS!$A$48)+P$9-IF(AND(TipoOrçamento="REPROGRAMADOAC",$N$9&gt;0),$N$9,0),1),"mmm/aa"))</f>
        <v>Parcela 1
jan/23</v>
      </c>
      <c r="Q10" s="210" t="str">
        <f ca="1">IF(AND(TipoOrçamento="REPROGRAMADOAC",$N$9&gt;0,O10="Valores Totais (R$)"),"Parcela "&amp;$N$9&amp;" Executado","Parcela "&amp;Q$9&amp;CHAR(10)&amp;TEXT(DATE(YEAR(DADOS!$A$48),MONTH(DADOS!$A$48)+Q$9-IF(AND(TipoOrçamento="REPROGRAMADOAC",$N$9&gt;0),$N$9,0),1),"mmm/aa"))</f>
        <v>Parcela 2
fev/23</v>
      </c>
      <c r="R10" s="210" t="str">
        <f ca="1">IF(AND(TipoOrçamento="REPROGRAMADOAC",$N$9&gt;0,P10="Valores Totais (R$)"),"Parcela "&amp;$N$9&amp;" Executado","Parcela "&amp;R$9&amp;CHAR(10)&amp;TEXT(DATE(YEAR(DADOS!$A$48),MONTH(DADOS!$A$48)+R$9-IF(AND(TipoOrçamento="REPROGRAMADOAC",$N$9&gt;0),$N$9,0),1),"mmm/aa"))</f>
        <v>Parcela 3
mar/23</v>
      </c>
      <c r="S10" s="210" t="str">
        <f ca="1">IF(AND(TipoOrçamento="REPROGRAMADOAC",$N$9&gt;0,Q10="Valores Totais (R$)"),"Parcela "&amp;$N$9&amp;" Executado","Parcela "&amp;S$9&amp;CHAR(10)&amp;TEXT(DATE(YEAR(DADOS!$A$48),MONTH(DADOS!$A$48)+S$9-IF(AND(TipoOrçamento="REPROGRAMADOAC",$N$9&gt;0),$N$9,0),1),"mmm/aa"))</f>
        <v>Parcela 4
abr/23</v>
      </c>
      <c r="T10" s="210" t="str">
        <f ca="1">IF(AND(TipoOrçamento="REPROGRAMADOAC",$N$9&gt;0,R10="Valores Totais (R$)"),"Parcela "&amp;$N$9&amp;" Executado","Parcela "&amp;T$9&amp;CHAR(10)&amp;TEXT(DATE(YEAR(DADOS!$A$48),MONTH(DADOS!$A$48)+T$9-IF(AND(TipoOrçamento="REPROGRAMADOAC",$N$9&gt;0),$N$9,0),1),"mmm/aa"))</f>
        <v>Parcela 5
mai/23</v>
      </c>
      <c r="U10" s="210" t="str">
        <f ca="1">IF(AND(TipoOrçamento="REPROGRAMADOAC",$N$9&gt;0,S10="Valores Totais (R$)"),"Parcela "&amp;$N$9&amp;" Executado","Parcela "&amp;U$9&amp;CHAR(10)&amp;TEXT(DATE(YEAR(DADOS!$A$48),MONTH(DADOS!$A$48)+U$9-IF(AND(TipoOrçamento="REPROGRAMADOAC",$N$9&gt;0),$N$9,0),1),"mmm/aa"))</f>
        <v>Parcela 6
jun/23</v>
      </c>
      <c r="V10" s="210" t="str">
        <f ca="1">IF(AND(TipoOrçamento="REPROGRAMADOAC",$N$9&gt;0,T10="Valores Totais (R$)"),"Parcela "&amp;$N$9&amp;" Executado","Parcela "&amp;V$9&amp;CHAR(10)&amp;TEXT(DATE(YEAR(DADOS!$A$48),MONTH(DADOS!$A$48)+V$9-IF(AND(TipoOrçamento="REPROGRAMADOAC",$N$9&gt;0),$N$9,0),1),"mmm/aa"))</f>
        <v>Parcela 7
jul/23</v>
      </c>
      <c r="W10" s="222" t="str">
        <f ca="1">IF(AND(TipoOrçamento="REPROGRAMADOAC",$N$9&gt;0,U10="Valores Totais (R$)"),"Parcela "&amp;$N$9&amp;" Executado","Parcela "&amp;W$9&amp;CHAR(10)&amp;TEXT(DATE(YEAR(DADOS!$A$48),MONTH(DADOS!$A$48)+W$9-IF(AND(TipoOrçamento="REPROGRAMADOAC",$N$9&gt;0),$N$9,0),1),"mmm/aa"))</f>
        <v>Parcela 8
ago/23</v>
      </c>
      <c r="X10" s="195"/>
      <c r="AC10" s="210" t="str">
        <f ca="1">IF(AND(TipoOrçamento="REPROGRAMADOAC",$N$9&gt;0,AA10="Valores Totais (R$)"),"Parcela "&amp;$N$9&amp;" Executado","Parcela "&amp;AC$9&amp;CHAR(10)&amp;TEXT(DATE(YEAR(DADOS!$A$48),MONTH(DADOS!$A$48)+AC$9-IF(AND(TipoOrçamento="REPROGRAMADOAC",$N$9&gt;0),$N$9,0),1),"mmm/aa"))</f>
        <v>Parcela 1
jan/23</v>
      </c>
    </row>
    <row r="11" spans="1:29" customFormat="1" ht="14.25" hidden="1" customHeight="1" x14ac:dyDescent="0.25">
      <c r="A11" s="82"/>
      <c r="B11" s="82"/>
      <c r="C11" s="82"/>
      <c r="D11" s="82"/>
      <c r="E11" s="82"/>
      <c r="F11" s="82"/>
      <c r="G11" s="82"/>
      <c r="H11" s="82"/>
      <c r="I11" s="82"/>
      <c r="J11" s="82"/>
      <c r="K11" s="82"/>
      <c r="L11" s="383" t="e">
        <f ca="1">INDEX(PO!K$12:K$71,MATCH($A13,PO!$V$12:$V$71,0))</f>
        <v>#VALUE!</v>
      </c>
      <c r="M11" s="377" t="e">
        <f ca="1">INDEX(PO!N$12:N$71,MATCH($A13,PO!$V$12:$V$71,0))</f>
        <v>#VALUE!</v>
      </c>
      <c r="N11" s="375"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84"/>
      <c r="M12" s="378"/>
      <c r="N12" s="376"/>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INDEX(PO!A$12:A$71,MATCH($A13,PO!$V$12:$V$71,0))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MATCH(0,OFFSET($D13,1,$C13,ROW($A$36)-ROW($A13)),0)</f>
        <v>#VALUE!</v>
      </c>
      <c r="J13" s="184" t="e">
        <f ca="1">MATCH(OFFSET($D13,0,$C13)+1,OFFSET($D13,1,$C13,ROW($A$36)-ROW($A13)),0)</f>
        <v>#VALUE!</v>
      </c>
      <c r="K13" s="185" t="e">
        <f ca="1">ROUND(INDEX(PO!T$12:T$71,MATCH($A13,PO!$V$12:$V$71,0)),2)+10^-12</f>
        <v>#VALUE!</v>
      </c>
      <c r="L13" s="384"/>
      <c r="M13" s="378"/>
      <c r="N13" s="376"/>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86" t="s">
        <v>19</v>
      </c>
      <c r="M14" s="387"/>
      <c r="N14" s="392">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88"/>
      <c r="M15" s="389"/>
      <c r="N15" s="393"/>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88"/>
      <c r="M16" s="389"/>
      <c r="N16" s="393"/>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ROW(D$36)-ROW(D18)</f>
        <v>18</v>
      </c>
      <c r="E17" s="1"/>
      <c r="F17" s="1"/>
      <c r="G17" s="1"/>
      <c r="H17" s="1"/>
      <c r="I17" s="1"/>
      <c r="J17" s="1"/>
      <c r="K17" s="1"/>
      <c r="L17" s="390"/>
      <c r="M17" s="391"/>
      <c r="N17" s="394"/>
      <c r="O17" s="158" t="s">
        <v>20</v>
      </c>
      <c r="P17" s="202">
        <f ca="1">SUMIF(OFFSET($C17,1,0):$C$36,1,OFFSET(P17,1,0):P$36)</f>
        <v>0</v>
      </c>
      <c r="Q17" s="152">
        <f ca="1">SUMIF(OFFSET($C17,1,0):$C$36,1,OFFSET(Q17,1,0):Q$36)</f>
        <v>0</v>
      </c>
      <c r="R17" s="152">
        <f ca="1">SUMIF(OFFSET($C17,1,0):$C$36,1,OFFSET(R17,1,0):R$36)</f>
        <v>0</v>
      </c>
      <c r="S17" s="152">
        <f ca="1">SUMIF(OFFSET($C17,1,0):$C$36,1,OFFSET(S17,1,0):S$36)</f>
        <v>0</v>
      </c>
      <c r="T17" s="152">
        <f ca="1">SUMIF(OFFSET($C17,1,0):$C$36,1,OFFSET(T17,1,0):T$36)</f>
        <v>0</v>
      </c>
      <c r="U17" s="152">
        <f ca="1">SUMIF(OFFSET($C17,1,0):$C$36,1,OFFSET(U17,1,0):U$36)</f>
        <v>0</v>
      </c>
      <c r="V17" s="152">
        <f ca="1">SUMIF(OFFSET($C17,1,0):$C$36,1,OFFSET(V17,1,0):V$36)</f>
        <v>0</v>
      </c>
      <c r="W17" s="152">
        <f ca="1">SUMIF(OFFSET($C17,1,0):$C$36,1,OFFSET(W17,1,0):W$36)</f>
        <v>0</v>
      </c>
      <c r="X17" s="171"/>
      <c r="AC17" s="152">
        <f ca="1">SUMIF(OFFSET($C17,1,0):$C$36,1,OFFSET(AC17,1,0):AC$36)</f>
        <v>0</v>
      </c>
    </row>
    <row r="18" spans="1:29" customFormat="1" ht="14.25" customHeight="1" x14ac:dyDescent="0.25">
      <c r="A18" s="1"/>
      <c r="B18" s="1"/>
      <c r="C18" s="1"/>
      <c r="D18" s="1"/>
      <c r="E18" s="1"/>
      <c r="F18" s="1"/>
      <c r="G18" s="1"/>
      <c r="H18" s="1"/>
      <c r="I18" s="1"/>
      <c r="J18" s="1"/>
      <c r="K18" s="1"/>
      <c r="L18" s="383" t="str">
        <f ca="1">INDEX(PO!K$12:K$71,MATCH($A20,PO!$V$12:$V$71,0))</f>
        <v>1.</v>
      </c>
      <c r="M18" s="377" t="str">
        <f ca="1">INDEX(PO!N$12:N$71,MATCH($A20,PO!$V$12:$V$71,0))</f>
        <v>SERVIÇO INICIAIS</v>
      </c>
      <c r="N18" s="375">
        <f ca="1">IF(ROUND(K20,2)=0,K20,ROUND(K20,2))</f>
        <v>9.9999999999999998E-13</v>
      </c>
      <c r="O18" s="203" t="s">
        <v>143</v>
      </c>
      <c r="P18" s="225">
        <v>0.25</v>
      </c>
      <c r="Q18" s="226">
        <v>0.25</v>
      </c>
      <c r="R18" s="226">
        <v>0.25</v>
      </c>
      <c r="S18" s="226">
        <v>0.25</v>
      </c>
      <c r="T18" s="226"/>
      <c r="U18" s="226"/>
      <c r="V18" s="226"/>
      <c r="W18" s="227"/>
      <c r="X18" s="197" t="s">
        <v>106</v>
      </c>
      <c r="AC18" s="221">
        <f ca="1">IF($B20,0,AC19-IF(ISNUMBER(AB19),AB19,0))</f>
        <v>0</v>
      </c>
    </row>
    <row r="19" spans="1:29" customFormat="1" ht="13.8" x14ac:dyDescent="0.25">
      <c r="A19" s="1"/>
      <c r="B19" s="1"/>
      <c r="C19" s="1"/>
      <c r="D19" s="1"/>
      <c r="E19" s="1"/>
      <c r="F19" s="1"/>
      <c r="G19" s="1"/>
      <c r="H19" s="1"/>
      <c r="I19" s="1"/>
      <c r="J19" s="1"/>
      <c r="K19" s="1"/>
      <c r="L19" s="384"/>
      <c r="M19" s="378"/>
      <c r="N19" s="376"/>
      <c r="O19" s="170" t="s">
        <v>145</v>
      </c>
      <c r="P19" s="198">
        <f t="shared" ref="P19:W19" ca="1" si="7">MIN(IF($B20,P18+IF(ISNUMBER(O19),O19,0),P20/$N18),1)</f>
        <v>0.25</v>
      </c>
      <c r="Q19" s="168">
        <f t="shared" ca="1" si="7"/>
        <v>0.5</v>
      </c>
      <c r="R19" s="168">
        <f t="shared" ca="1" si="7"/>
        <v>0.75</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INDEX(PO!A$12:A$71,MATCH($A20,PO!$V$12:$V$71,0))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MATCH(0,OFFSET($D20,1,$C20,ROW($A$36)-ROW($A20)),0)</f>
        <v>16</v>
      </c>
      <c r="J20" s="184">
        <f ca="1">MATCH(OFFSET($D20,0,$C20)+1,OFFSET($D20,1,$C20,ROW($A$36)-ROW($A20)),0)</f>
        <v>3</v>
      </c>
      <c r="K20" s="185">
        <f ca="1">ROUND(INDEX(PO!T$12:T$71,MATCH($A20,PO!$V$12:$V$71,0)),2)+10^-12</f>
        <v>9.9999999999999998E-13</v>
      </c>
      <c r="L20" s="384"/>
      <c r="M20" s="378"/>
      <c r="N20" s="376"/>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83" t="str">
        <f ca="1">INDEX(PO!K$12:K$71,MATCH($A23,PO!$V$12:$V$71,0))</f>
        <v>2.</v>
      </c>
      <c r="M21" s="377" t="str">
        <f ca="1">INDEX(PO!N$12:N$71,MATCH($A23,PO!$V$12:$V$71,0))</f>
        <v>TERRAPLENAGEM</v>
      </c>
      <c r="N21" s="375">
        <f ca="1">IF(ROUND(K23,2)=0,K23,ROUND(K23,2))</f>
        <v>9.9999999999999998E-13</v>
      </c>
      <c r="O21" s="220" t="s">
        <v>143</v>
      </c>
      <c r="P21" s="225">
        <v>0.6</v>
      </c>
      <c r="Q21" s="226">
        <v>0.2</v>
      </c>
      <c r="R21" s="226">
        <v>0.2</v>
      </c>
      <c r="S21" s="226"/>
      <c r="T21" s="226"/>
      <c r="U21" s="226"/>
      <c r="V21" s="226"/>
      <c r="W21" s="227"/>
      <c r="X21" s="196"/>
      <c r="AC21" s="221">
        <f ca="1">IF($B23,0,AC22-IF(ISNUMBER(AB22),AB22,0))</f>
        <v>0</v>
      </c>
    </row>
    <row r="22" spans="1:29" customFormat="1" ht="13.8" x14ac:dyDescent="0.25">
      <c r="A22" s="184"/>
      <c r="B22" s="184"/>
      <c r="C22" s="184"/>
      <c r="D22" s="184"/>
      <c r="E22" s="184"/>
      <c r="F22" s="184"/>
      <c r="G22" s="184"/>
      <c r="H22" s="184"/>
      <c r="I22" s="184"/>
      <c r="J22" s="184"/>
      <c r="K22" s="184"/>
      <c r="L22" s="384"/>
      <c r="M22" s="378"/>
      <c r="N22" s="376"/>
      <c r="O22" s="170" t="s">
        <v>145</v>
      </c>
      <c r="P22" s="198">
        <f t="shared" ref="P22:W22" ca="1" si="9">MIN(IF($B23,P21+IF(ISNUMBER(O22),O22,0),P23/$N21),1)</f>
        <v>0.6</v>
      </c>
      <c r="Q22" s="168">
        <f t="shared" ca="1" si="9"/>
        <v>0.8</v>
      </c>
      <c r="R22" s="168">
        <f t="shared" ca="1" si="9"/>
        <v>1</v>
      </c>
      <c r="S22" s="168">
        <f t="shared" ca="1" si="9"/>
        <v>1</v>
      </c>
      <c r="T22" s="168">
        <f t="shared" ca="1" si="9"/>
        <v>1</v>
      </c>
      <c r="U22" s="168">
        <f t="shared" ca="1" si="9"/>
        <v>1</v>
      </c>
      <c r="V22" s="168">
        <f t="shared" ca="1" si="9"/>
        <v>1</v>
      </c>
      <c r="W22" s="168">
        <f t="shared" ca="1" si="9"/>
        <v>1</v>
      </c>
      <c r="X22" s="196"/>
      <c r="AC22" s="168">
        <f ca="1">MIN(IF($B23,AC21+IF(ISNUMBER(AB22),AB22,0),AC23/$N21),1)</f>
        <v>0</v>
      </c>
    </row>
    <row r="23" spans="1:29" customFormat="1" ht="13.8" x14ac:dyDescent="0.25">
      <c r="A23" s="184">
        <f ca="1">OFFSET(A23,-CFF.NumLinha,0)+1</f>
        <v>2</v>
      </c>
      <c r="B23" s="184" t="b">
        <f ca="1">$C23&gt;=OFFSET($C23,CFF.NumLinha,0)</f>
        <v>1</v>
      </c>
      <c r="C23" s="184">
        <f ca="1">INDEX(PO!A$12:A$71,MATCH($A23,PO!$V$12:$V$71,0))</f>
        <v>1</v>
      </c>
      <c r="D23" s="184">
        <f ca="1">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MATCH(0,OFFSET($D23,1,$C23,ROW($A$36)-ROW($A23)),0)</f>
        <v>13</v>
      </c>
      <c r="J23" s="184">
        <f ca="1">MATCH(OFFSET($D23,0,$C23)+1,OFFSET($D23,1,$C23,ROW($A$36)-ROW($A23)),0)</f>
        <v>3</v>
      </c>
      <c r="K23" s="185">
        <f ca="1">ROUND(INDEX(PO!T$12:T$71,MATCH($A23,PO!$V$12:$V$71,0)),2)+10^-12</f>
        <v>9.9999999999999998E-13</v>
      </c>
      <c r="L23" s="384"/>
      <c r="M23" s="378"/>
      <c r="N23" s="376"/>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83" t="str">
        <f ca="1">INDEX(PO!K$12:K$71,MATCH($A26,PO!$V$12:$V$71,0))</f>
        <v>3.</v>
      </c>
      <c r="M24" s="377" t="str">
        <f ca="1">INDEX(PO!N$12:N$71,MATCH($A26,PO!$V$12:$V$71,0))</f>
        <v>DRENAGEM</v>
      </c>
      <c r="N24" s="375">
        <f ca="1">IF(ROUND(K26,2)=0,K26,ROUND(K26,2))</f>
        <v>9.9999999999999998E-13</v>
      </c>
      <c r="O24" s="220" t="s">
        <v>143</v>
      </c>
      <c r="P24" s="225">
        <v>0.6</v>
      </c>
      <c r="Q24" s="226">
        <v>0.4</v>
      </c>
      <c r="R24" s="226"/>
      <c r="S24" s="226">
        <f ca="1">IF($B26,0,S25-IF(ISNUMBER(R25),R25,0))</f>
        <v>0</v>
      </c>
      <c r="T24" s="226">
        <f ca="1">IF($B26,0,T25-IF(ISNUMBER(S25),S25,0))</f>
        <v>0</v>
      </c>
      <c r="U24" s="226">
        <f ca="1">IF($B26,0,U25-IF(ISNUMBER(T25),T25,0))</f>
        <v>0</v>
      </c>
      <c r="V24" s="226">
        <f ca="1">IF($B26,0,V25-IF(ISNUMBER(U25),U25,0))</f>
        <v>0</v>
      </c>
      <c r="W24" s="227">
        <f ca="1">IF($B26,0,W25-IF(ISNUMBER(V25),V25,0))</f>
        <v>0</v>
      </c>
      <c r="X24" s="196"/>
      <c r="AC24" s="221">
        <f ca="1">IF($B26,0,AC25-IF(ISNUMBER(AB25),AB25,0))</f>
        <v>0</v>
      </c>
    </row>
    <row r="25" spans="1:29" customFormat="1" ht="13.8" x14ac:dyDescent="0.25">
      <c r="A25" s="184"/>
      <c r="B25" s="184"/>
      <c r="C25" s="184"/>
      <c r="D25" s="184"/>
      <c r="E25" s="184"/>
      <c r="F25" s="184"/>
      <c r="G25" s="184"/>
      <c r="H25" s="184"/>
      <c r="I25" s="184"/>
      <c r="J25" s="184"/>
      <c r="K25" s="184"/>
      <c r="L25" s="384"/>
      <c r="M25" s="378"/>
      <c r="N25" s="376"/>
      <c r="O25" s="170" t="s">
        <v>145</v>
      </c>
      <c r="P25" s="198">
        <f t="shared" ref="P25:W25" ca="1" si="11">MIN(IF($B26,P24+IF(ISNUMBER(O25),O25,0),P26/$N24),1)</f>
        <v>0.6</v>
      </c>
      <c r="Q25" s="168">
        <f t="shared" ca="1" si="11"/>
        <v>1</v>
      </c>
      <c r="R25" s="168">
        <f t="shared" ca="1" si="11"/>
        <v>1</v>
      </c>
      <c r="S25" s="168">
        <f t="shared" ca="1" si="11"/>
        <v>1</v>
      </c>
      <c r="T25" s="168">
        <f t="shared" ca="1" si="11"/>
        <v>1</v>
      </c>
      <c r="U25" s="168">
        <f t="shared" ca="1" si="11"/>
        <v>1</v>
      </c>
      <c r="V25" s="168">
        <f t="shared" ca="1" si="11"/>
        <v>1</v>
      </c>
      <c r="W25" s="168">
        <f t="shared" ca="1" si="11"/>
        <v>1</v>
      </c>
      <c r="X25" s="196"/>
      <c r="AC25" s="168">
        <f ca="1">MIN(IF($B26,AC24+IF(ISNUMBER(AB25),AB25,0),AC26/$N24),1)</f>
        <v>0</v>
      </c>
    </row>
    <row r="26" spans="1:29" customFormat="1" ht="13.8" x14ac:dyDescent="0.25">
      <c r="A26" s="184">
        <f ca="1">OFFSET(A26,-CFF.NumLinha,0)+1</f>
        <v>3</v>
      </c>
      <c r="B26" s="184" t="b">
        <f ca="1">$C26&gt;=OFFSET($C26,CFF.NumLinha,0)</f>
        <v>1</v>
      </c>
      <c r="C26" s="184">
        <f ca="1">INDEX(PO!A$12:A$71,MATCH($A26,PO!$V$12:$V$71,0))</f>
        <v>1</v>
      </c>
      <c r="D26" s="184">
        <f ca="1">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ca="1">MATCH(0,OFFSET($D26,1,$C26,ROW($A$36)-ROW($A26)),0)</f>
        <v>10</v>
      </c>
      <c r="J26" s="184">
        <f ca="1">MATCH(OFFSET($D26,0,$C26)+1,OFFSET($D26,1,$C26,ROW($A$36)-ROW($A26)),0)</f>
        <v>3</v>
      </c>
      <c r="K26" s="185">
        <f ca="1">ROUND(INDEX(PO!T$12:T$71,MATCH($A26,PO!$V$12:$V$71,0)),2)+10^-12</f>
        <v>9.9999999999999998E-13</v>
      </c>
      <c r="L26" s="384"/>
      <c r="M26" s="378"/>
      <c r="N26" s="376"/>
      <c r="O26" s="204" t="s">
        <v>20</v>
      </c>
      <c r="P26" s="199">
        <f t="shared" ref="P26:W26" ca="1" si="12">IF($B26,ROUND(P25*$N24,2),ROUND(SUMIF(OFFSET($B26,1,0,$D26),TRUE,OFFSET(P26,1,0,$D26))/SUMIF(OFFSET($B26,1,0,$D26),TRUE,OFFSET($K26,1,0,$D26))*$N24,2))</f>
        <v>0</v>
      </c>
      <c r="Q26" s="169">
        <f t="shared" ca="1" si="12"/>
        <v>0</v>
      </c>
      <c r="R26" s="169">
        <f t="shared" ca="1" si="12"/>
        <v>0</v>
      </c>
      <c r="S26" s="169">
        <f t="shared" ca="1" si="12"/>
        <v>0</v>
      </c>
      <c r="T26" s="169">
        <f t="shared" ca="1" si="12"/>
        <v>0</v>
      </c>
      <c r="U26" s="169">
        <f t="shared" ca="1" si="12"/>
        <v>0</v>
      </c>
      <c r="V26" s="169">
        <f t="shared" ca="1" si="12"/>
        <v>0</v>
      </c>
      <c r="W26" s="207">
        <f t="shared" ca="1" si="12"/>
        <v>0</v>
      </c>
      <c r="X26" s="196"/>
      <c r="AC26" s="169">
        <f ca="1">IF($B26,ROUND(AC25*$N24,2),ROUND(SUMIF(OFFSET($B26,1,0,$D26),TRUE,OFFSET(AC26,1,0,$D26))/SUMIF(OFFSET($B26,1,0,$D26),TRUE,OFFSET($K26,1,0,$D26))*$N24,2))</f>
        <v>0</v>
      </c>
    </row>
    <row r="27" spans="1:29" customFormat="1" ht="14.25" customHeight="1" x14ac:dyDescent="0.25">
      <c r="A27" s="82"/>
      <c r="B27" s="82"/>
      <c r="C27" s="82"/>
      <c r="D27" s="82"/>
      <c r="E27" s="82"/>
      <c r="F27" s="82"/>
      <c r="G27" s="82"/>
      <c r="H27" s="82"/>
      <c r="I27" s="82"/>
      <c r="J27" s="82"/>
      <c r="K27" s="82"/>
      <c r="L27" s="383" t="str">
        <f ca="1">INDEX(PO!K$12:K$71,MATCH($A29,PO!$V$12:$V$71,0))</f>
        <v>4.</v>
      </c>
      <c r="M27" s="377" t="str">
        <f ca="1">INDEX(PO!N$12:N$71,MATCH($A29,PO!$V$12:$V$71,0))</f>
        <v xml:space="preserve">PAVIMENTAÇÃO  </v>
      </c>
      <c r="N27" s="375">
        <f ca="1">IF(ROUND(K29,2)=0,K29,ROUND(K29,2))</f>
        <v>9.9999999999999998E-13</v>
      </c>
      <c r="O27" s="220" t="s">
        <v>143</v>
      </c>
      <c r="P27" s="225">
        <v>0.2</v>
      </c>
      <c r="Q27" s="226">
        <v>0.2</v>
      </c>
      <c r="R27" s="226">
        <v>0.4</v>
      </c>
      <c r="S27" s="226">
        <v>0.2</v>
      </c>
      <c r="T27" s="226"/>
      <c r="U27" s="226"/>
      <c r="V27" s="226"/>
      <c r="W27" s="227"/>
      <c r="X27" s="196"/>
      <c r="AC27" s="221">
        <f ca="1">IF($B29,0,AC28-IF(ISNUMBER(AB28),AB28,0))</f>
        <v>0</v>
      </c>
    </row>
    <row r="28" spans="1:29" customFormat="1" ht="13.8" x14ac:dyDescent="0.25">
      <c r="A28" s="184"/>
      <c r="B28" s="184"/>
      <c r="C28" s="184"/>
      <c r="D28" s="184"/>
      <c r="E28" s="184"/>
      <c r="F28" s="184"/>
      <c r="G28" s="184"/>
      <c r="H28" s="184"/>
      <c r="I28" s="184"/>
      <c r="J28" s="184"/>
      <c r="K28" s="184"/>
      <c r="L28" s="384"/>
      <c r="M28" s="378"/>
      <c r="N28" s="376"/>
      <c r="O28" s="170" t="s">
        <v>145</v>
      </c>
      <c r="P28" s="198">
        <f t="shared" ref="P28:W28" ca="1" si="13">MIN(IF($B29,P27+IF(ISNUMBER(O28),O28,0),P29/$N27),1)</f>
        <v>0.2</v>
      </c>
      <c r="Q28" s="168">
        <f t="shared" ca="1" si="13"/>
        <v>0.4</v>
      </c>
      <c r="R28" s="168">
        <f t="shared" ca="1" si="13"/>
        <v>0.8</v>
      </c>
      <c r="S28" s="168">
        <f t="shared" ca="1" si="13"/>
        <v>1</v>
      </c>
      <c r="T28" s="168">
        <f t="shared" ca="1" si="13"/>
        <v>1</v>
      </c>
      <c r="U28" s="168">
        <f t="shared" ca="1" si="13"/>
        <v>1</v>
      </c>
      <c r="V28" s="168">
        <f t="shared" ca="1" si="13"/>
        <v>1</v>
      </c>
      <c r="W28" s="168">
        <f t="shared" ca="1" si="13"/>
        <v>1</v>
      </c>
      <c r="X28" s="196"/>
      <c r="AC28" s="168">
        <f ca="1">MIN(IF($B29,AC27+IF(ISNUMBER(AB28),AB28,0),AC29/$N27),1)</f>
        <v>0</v>
      </c>
    </row>
    <row r="29" spans="1:29" customFormat="1" ht="13.8" x14ac:dyDescent="0.25">
      <c r="A29" s="184">
        <f ca="1">OFFSET(A29,-CFF.NumLinha,0)+1</f>
        <v>4</v>
      </c>
      <c r="B29" s="184" t="b">
        <f ca="1">$C29&gt;=OFFSET($C29,CFF.NumLinha,0)</f>
        <v>1</v>
      </c>
      <c r="C29" s="184">
        <f ca="1">INDEX(PO!A$12:A$71,MATCH($A29,PO!$V$12:$V$71,0))</f>
        <v>1</v>
      </c>
      <c r="D29" s="184">
        <f ca="1">IF(ISERROR(J29),I29,SMALL(I29:J29,1))-1</f>
        <v>2</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ca="1">MATCH(0,OFFSET($D29,1,$C29,ROW($A$36)-ROW($A29)),0)</f>
        <v>7</v>
      </c>
      <c r="J29" s="184">
        <f ca="1">MATCH(OFFSET($D29,0,$C29)+1,OFFSET($D29,1,$C29,ROW($A$36)-ROW($A29)),0)</f>
        <v>3</v>
      </c>
      <c r="K29" s="185">
        <f ca="1">ROUND(INDEX(PO!T$12:T$71,MATCH($A29,PO!$V$12:$V$71,0)),2)+10^-12</f>
        <v>9.9999999999999998E-13</v>
      </c>
      <c r="L29" s="384"/>
      <c r="M29" s="378"/>
      <c r="N29" s="376"/>
      <c r="O29" s="204" t="s">
        <v>20</v>
      </c>
      <c r="P29" s="199">
        <f t="shared" ref="P29:W29" ca="1" si="14">IF($B29,ROUND(P28*$N27,2),ROUND(SUMIF(OFFSET($B29,1,0,$D29),TRUE,OFFSET(P29,1,0,$D29))/SUMIF(OFFSET($B29,1,0,$D29),TRUE,OFFSET($K29,1,0,$D29))*$N27,2))</f>
        <v>0</v>
      </c>
      <c r="Q29" s="169">
        <f t="shared" ca="1" si="14"/>
        <v>0</v>
      </c>
      <c r="R29" s="169">
        <f t="shared" ca="1" si="14"/>
        <v>0</v>
      </c>
      <c r="S29" s="169">
        <f t="shared" ca="1" si="14"/>
        <v>0</v>
      </c>
      <c r="T29" s="169">
        <f t="shared" ca="1" si="14"/>
        <v>0</v>
      </c>
      <c r="U29" s="169">
        <f t="shared" ca="1" si="14"/>
        <v>0</v>
      </c>
      <c r="V29" s="169">
        <f t="shared" ca="1" si="14"/>
        <v>0</v>
      </c>
      <c r="W29" s="207">
        <f t="shared" ca="1" si="14"/>
        <v>0</v>
      </c>
      <c r="X29" s="196"/>
      <c r="AC29" s="169">
        <f ca="1">IF($B29,ROUND(AC28*$N27,2),ROUND(SUMIF(OFFSET($B29,1,0,$D29),TRUE,OFFSET(AC29,1,0,$D29))/SUMIF(OFFSET($B29,1,0,$D29),TRUE,OFFSET($K29,1,0,$D29))*$N27,2))</f>
        <v>0</v>
      </c>
    </row>
    <row r="30" spans="1:29" customFormat="1" ht="14.25" customHeight="1" x14ac:dyDescent="0.25">
      <c r="A30" s="82"/>
      <c r="B30" s="82"/>
      <c r="C30" s="82"/>
      <c r="D30" s="82"/>
      <c r="E30" s="82"/>
      <c r="F30" s="82"/>
      <c r="G30" s="82"/>
      <c r="H30" s="82"/>
      <c r="I30" s="82"/>
      <c r="J30" s="82"/>
      <c r="K30" s="82"/>
      <c r="L30" s="383" t="str">
        <f ca="1">INDEX(PO!K$12:K$71,MATCH($A32,PO!$V$12:$V$71,0))</f>
        <v>5.</v>
      </c>
      <c r="M30" s="377" t="str">
        <f ca="1">INDEX(PO!N$12:N$71,MATCH($A32,PO!$V$12:$V$71,0))</f>
        <v>SINALIZAÇÃO</v>
      </c>
      <c r="N30" s="375">
        <f ca="1">IF(ROUND(K32,2)=0,K32,ROUND(K32,2))</f>
        <v>9.9999999999999998E-13</v>
      </c>
      <c r="O30" s="220" t="s">
        <v>143</v>
      </c>
      <c r="P30" s="225"/>
      <c r="Q30" s="226">
        <v>0.15</v>
      </c>
      <c r="R30" s="226">
        <v>0.7</v>
      </c>
      <c r="S30" s="226">
        <v>0.15</v>
      </c>
      <c r="T30" s="226"/>
      <c r="U30" s="226"/>
      <c r="V30" s="226"/>
      <c r="W30" s="227"/>
      <c r="X30" s="196"/>
      <c r="AC30" s="221">
        <f ca="1">IF($B32,0,AC31-IF(ISNUMBER(AB31),AB31,0))</f>
        <v>0</v>
      </c>
    </row>
    <row r="31" spans="1:29" customFormat="1" ht="13.8" x14ac:dyDescent="0.25">
      <c r="A31" s="184"/>
      <c r="B31" s="184"/>
      <c r="C31" s="184"/>
      <c r="D31" s="184"/>
      <c r="E31" s="184"/>
      <c r="F31" s="184"/>
      <c r="G31" s="184"/>
      <c r="H31" s="184"/>
      <c r="I31" s="184"/>
      <c r="J31" s="184"/>
      <c r="K31" s="184"/>
      <c r="L31" s="384"/>
      <c r="M31" s="378"/>
      <c r="N31" s="376"/>
      <c r="O31" s="170" t="s">
        <v>145</v>
      </c>
      <c r="P31" s="198">
        <f t="shared" ref="P31:W31" ca="1" si="15">MIN(IF($B32,P30+IF(ISNUMBER(O31),O31,0),P32/$N30),1)</f>
        <v>0</v>
      </c>
      <c r="Q31" s="168">
        <f t="shared" ca="1" si="15"/>
        <v>0.15</v>
      </c>
      <c r="R31" s="168">
        <f t="shared" ca="1" si="15"/>
        <v>0.85</v>
      </c>
      <c r="S31" s="168">
        <f t="shared" ca="1" si="15"/>
        <v>1</v>
      </c>
      <c r="T31" s="168">
        <f t="shared" ca="1" si="15"/>
        <v>1</v>
      </c>
      <c r="U31" s="168">
        <f t="shared" ca="1" si="15"/>
        <v>1</v>
      </c>
      <c r="V31" s="168">
        <f t="shared" ca="1" si="15"/>
        <v>1</v>
      </c>
      <c r="W31" s="168">
        <f t="shared" ca="1" si="15"/>
        <v>1</v>
      </c>
      <c r="X31" s="196"/>
      <c r="AC31" s="168">
        <f ca="1">MIN(IF($B32,AC30+IF(ISNUMBER(AB31),AB31,0),AC32/$N30),1)</f>
        <v>0</v>
      </c>
    </row>
    <row r="32" spans="1:29" customFormat="1" ht="13.8" x14ac:dyDescent="0.25">
      <c r="A32" s="184">
        <f ca="1">OFFSET(A32,-CFF.NumLinha,0)+1</f>
        <v>5</v>
      </c>
      <c r="B32" s="184" t="b">
        <f ca="1">$C32&gt;=OFFSET($C32,CFF.NumLinha,0)</f>
        <v>1</v>
      </c>
      <c r="C32" s="184">
        <f ca="1">INDEX(PO!A$12:A$71,MATCH($A32,PO!$V$12:$V$71,0))</f>
        <v>1</v>
      </c>
      <c r="D32" s="184">
        <f ca="1">IF(ISERROR(J32),I32,SMALL(I32:J32,1))-1</f>
        <v>2</v>
      </c>
      <c r="E32" s="184">
        <f ca="1">IF($C32=1,OFFSET(E32,-CFF.NumLinha,0)+1,OFFSET(E32,-CFF.NumLinha,0))</f>
        <v>5</v>
      </c>
      <c r="F32" s="184">
        <f ca="1">IF($C32=1,0,IF($C32=2,OFFSET(F32,-CFF.NumLinha,0)+1,OFFSET(F32,-CFF.NumLinha,0)))</f>
        <v>0</v>
      </c>
      <c r="G32" s="184">
        <f ca="1">IF(AND($C32&lt;=2,$C32&lt;&gt;0),0,IF($C32=3,OFFSET(G32,-CFF.NumLinha,0)+1,OFFSET(G32,-CFF.NumLinha,0)))</f>
        <v>0</v>
      </c>
      <c r="H32" s="184">
        <f ca="1">IF(AND($C32&lt;=3,$C32&lt;&gt;0),0,IF($C32=4,OFFSET(H32,-CFF.NumLinha,0)+1,OFFSET(H32,-CFF.NumLinha,0)))</f>
        <v>0</v>
      </c>
      <c r="I32" s="184">
        <f ca="1">MATCH(0,OFFSET($D32,1,$C32,ROW($A$36)-ROW($A32)),0)</f>
        <v>4</v>
      </c>
      <c r="J32" s="184">
        <f ca="1">MATCH(OFFSET($D32,0,$C32)+1,OFFSET($D32,1,$C32,ROW($A$36)-ROW($A32)),0)</f>
        <v>3</v>
      </c>
      <c r="K32" s="185">
        <f ca="1">ROUND(INDEX(PO!T$12:T$71,MATCH($A32,PO!$V$12:$V$71,0)),2)+10^-12</f>
        <v>9.9999999999999998E-13</v>
      </c>
      <c r="L32" s="384"/>
      <c r="M32" s="378"/>
      <c r="N32" s="376"/>
      <c r="O32" s="204" t="s">
        <v>20</v>
      </c>
      <c r="P32" s="199">
        <f t="shared" ref="P32:W32" ca="1" si="16">IF($B32,ROUND(P31*$N30,2),ROUND(SUMIF(OFFSET($B32,1,0,$D32),TRUE,OFFSET(P32,1,0,$D32))/SUMIF(OFFSET($B32,1,0,$D32),TRUE,OFFSET($K32,1,0,$D32))*$N30,2))</f>
        <v>0</v>
      </c>
      <c r="Q32" s="169">
        <f t="shared" ca="1" si="16"/>
        <v>0</v>
      </c>
      <c r="R32" s="169">
        <f t="shared" ca="1" si="16"/>
        <v>0</v>
      </c>
      <c r="S32" s="169">
        <f t="shared" ca="1" si="16"/>
        <v>0</v>
      </c>
      <c r="T32" s="169">
        <f t="shared" ca="1" si="16"/>
        <v>0</v>
      </c>
      <c r="U32" s="169">
        <f t="shared" ca="1" si="16"/>
        <v>0</v>
      </c>
      <c r="V32" s="169">
        <f t="shared" ca="1" si="16"/>
        <v>0</v>
      </c>
      <c r="W32" s="207">
        <f t="shared" ca="1" si="16"/>
        <v>0</v>
      </c>
      <c r="X32" s="196"/>
      <c r="AC32" s="169">
        <f ca="1">IF($B32,ROUND(AC31*$N30,2),ROUND(SUMIF(OFFSET($B32,1,0,$D32),TRUE,OFFSET(AC32,1,0,$D32))/SUMIF(OFFSET($B32,1,0,$D32),TRUE,OFFSET($K32,1,0,$D32))*$N30,2))</f>
        <v>0</v>
      </c>
    </row>
    <row r="33" spans="1:29" customFormat="1" ht="14.25" customHeight="1" x14ac:dyDescent="0.25">
      <c r="A33" s="82"/>
      <c r="B33" s="82"/>
      <c r="C33" s="82"/>
      <c r="D33" s="82"/>
      <c r="E33" s="82"/>
      <c r="F33" s="82"/>
      <c r="G33" s="82"/>
      <c r="H33" s="82"/>
      <c r="I33" s="82"/>
      <c r="J33" s="82"/>
      <c r="K33" s="82"/>
      <c r="L33" s="383" t="str">
        <f ca="1">INDEX(PO!K$12:K$71,MATCH($A35,PO!$V$12:$V$71,0))</f>
        <v>6.</v>
      </c>
      <c r="M33" s="377" t="str">
        <f ca="1">INDEX(PO!N$12:N$71,MATCH($A35,PO!$V$12:$V$71,0))</f>
        <v>OBRAS COMPLEMENTARES</v>
      </c>
      <c r="N33" s="375">
        <f t="shared" ref="N33" ca="1" si="17">IF(ROUND(K35,2)=0,K35,ROUND(K35,2))</f>
        <v>9.9999999999999998E-13</v>
      </c>
      <c r="O33" s="220" t="s">
        <v>143</v>
      </c>
      <c r="P33" s="225"/>
      <c r="Q33" s="226">
        <v>0.15</v>
      </c>
      <c r="R33" s="226">
        <v>0.5</v>
      </c>
      <c r="S33" s="226">
        <v>0.35</v>
      </c>
      <c r="T33" s="226"/>
      <c r="U33" s="226"/>
      <c r="V33" s="226"/>
      <c r="W33" s="227"/>
      <c r="X33" s="196"/>
      <c r="AC33" s="221">
        <f t="shared" ref="AC33" ca="1" si="18">IF($B35,0,AC34-IF(ISNUMBER(AB34),AB34,0))</f>
        <v>0</v>
      </c>
    </row>
    <row r="34" spans="1:29" customFormat="1" ht="13.8" x14ac:dyDescent="0.25">
      <c r="A34" s="184"/>
      <c r="B34" s="184"/>
      <c r="C34" s="184"/>
      <c r="D34" s="184"/>
      <c r="E34" s="184"/>
      <c r="F34" s="184"/>
      <c r="G34" s="184"/>
      <c r="H34" s="184"/>
      <c r="I34" s="184"/>
      <c r="J34" s="184"/>
      <c r="K34" s="184"/>
      <c r="L34" s="384"/>
      <c r="M34" s="378"/>
      <c r="N34" s="376"/>
      <c r="O34" s="170" t="s">
        <v>145</v>
      </c>
      <c r="P34" s="198">
        <f t="shared" ref="P34" ca="1" si="19">MIN(IF($B35,P33+IF(ISNUMBER(O34),O34,0),P35/$N33),1)</f>
        <v>0</v>
      </c>
      <c r="Q34" s="168">
        <f t="shared" ref="Q34" ca="1" si="20">MIN(IF($B35,Q33+IF(ISNUMBER(P34),P34,0),Q35/$N33),1)</f>
        <v>0.15</v>
      </c>
      <c r="R34" s="168">
        <f t="shared" ref="R34" ca="1" si="21">MIN(IF($B35,R33+IF(ISNUMBER(Q34),Q34,0),R35/$N33),1)</f>
        <v>0.65</v>
      </c>
      <c r="S34" s="168">
        <f t="shared" ref="S34" ca="1" si="22">MIN(IF($B35,S33+IF(ISNUMBER(R34),R34,0),S35/$N33),1)</f>
        <v>1</v>
      </c>
      <c r="T34" s="168">
        <f t="shared" ref="T34" ca="1" si="23">MIN(IF($B35,T33+IF(ISNUMBER(S34),S34,0),T35/$N33),1)</f>
        <v>1</v>
      </c>
      <c r="U34" s="168">
        <f t="shared" ref="U34" ca="1" si="24">MIN(IF($B35,U33+IF(ISNUMBER(T34),T34,0),U35/$N33),1)</f>
        <v>1</v>
      </c>
      <c r="V34" s="168">
        <f t="shared" ref="V34" ca="1" si="25">MIN(IF($B35,V33+IF(ISNUMBER(U34),U34,0),V35/$N33),1)</f>
        <v>1</v>
      </c>
      <c r="W34" s="168">
        <f t="shared" ref="W34" ca="1" si="26">MIN(IF($B35,W33+IF(ISNUMBER(V34),V34,0),W35/$N33),1)</f>
        <v>1</v>
      </c>
      <c r="X34" s="196"/>
      <c r="AC34" s="168">
        <f t="shared" ref="AC34" ca="1" si="27">MIN(IF($B35,AC33+IF(ISNUMBER(AB34),AB34,0),AC35/$N33),1)</f>
        <v>0</v>
      </c>
    </row>
    <row r="35" spans="1:29" customFormat="1" ht="13.8" x14ac:dyDescent="0.25">
      <c r="A35" s="184">
        <f ca="1">OFFSET(A35,-CFF.NumLinha,0)+1</f>
        <v>6</v>
      </c>
      <c r="B35" s="184" t="b">
        <f ca="1">$C35&gt;=OFFSET($C35,CFF.NumLinha,0)</f>
        <v>1</v>
      </c>
      <c r="C35" s="184">
        <f ca="1">INDEX(PO!A$12:A$71,MATCH($A35,PO!$V$12:$V$71,0))</f>
        <v>1</v>
      </c>
      <c r="D35" s="184">
        <f t="shared" ref="D35" ca="1" si="28">IF(ISERROR(J35),I35,SMALL(I35:J35,1))-1</f>
        <v>0</v>
      </c>
      <c r="E35" s="184">
        <f ca="1">IF($C35=1,OFFSET(E35,-CFF.NumLinha,0)+1,OFFSET(E35,-CFF.NumLinha,0))</f>
        <v>6</v>
      </c>
      <c r="F35" s="184">
        <f ca="1">IF($C35=1,0,IF($C35=2,OFFSET(F35,-CFF.NumLinha,0)+1,OFFSET(F35,-CFF.NumLinha,0)))</f>
        <v>0</v>
      </c>
      <c r="G35" s="184">
        <f ca="1">IF(AND($C35&lt;=2,$C35&lt;&gt;0),0,IF($C35=3,OFFSET(G35,-CFF.NumLinha,0)+1,OFFSET(G35,-CFF.NumLinha,0)))</f>
        <v>0</v>
      </c>
      <c r="H35" s="184">
        <f ca="1">IF(AND($C35&lt;=3,$C35&lt;&gt;0),0,IF($C35=4,OFFSET(H35,-CFF.NumLinha,0)+1,OFFSET(H35,-CFF.NumLinha,0)))</f>
        <v>0</v>
      </c>
      <c r="I35" s="184">
        <f ca="1">MATCH(0,OFFSET($D35,1,$C35,ROW($A$36)-ROW($A35)),0)</f>
        <v>1</v>
      </c>
      <c r="J35" s="184" t="e">
        <f ca="1">MATCH(OFFSET($D35,0,$C35)+1,OFFSET($D35,1,$C35,ROW($A$36)-ROW($A35)),0)</f>
        <v>#N/A</v>
      </c>
      <c r="K35" s="185">
        <f ca="1">ROUND(INDEX(PO!T$12:T$71,MATCH($A35,PO!$V$12:$V$71,0)),2)+10^-12</f>
        <v>9.9999999999999998E-13</v>
      </c>
      <c r="L35" s="384"/>
      <c r="M35" s="378"/>
      <c r="N35" s="376"/>
      <c r="O35" s="204" t="s">
        <v>20</v>
      </c>
      <c r="P35" s="199">
        <f t="shared" ref="P35:W35" ca="1" si="29">IF($B35,ROUND(P34*$N33,2),ROUND(SUMIF(OFFSET($B35,1,0,$D35),TRUE,OFFSET(P35,1,0,$D35))/SUMIF(OFFSET($B35,1,0,$D35),TRUE,OFFSET($K35,1,0,$D35))*$N33,2))</f>
        <v>0</v>
      </c>
      <c r="Q35" s="169">
        <f t="shared" ca="1" si="29"/>
        <v>0</v>
      </c>
      <c r="R35" s="169">
        <f t="shared" ca="1" si="29"/>
        <v>0</v>
      </c>
      <c r="S35" s="169">
        <f t="shared" ca="1" si="29"/>
        <v>0</v>
      </c>
      <c r="T35" s="169">
        <f t="shared" ca="1" si="29"/>
        <v>0</v>
      </c>
      <c r="U35" s="169">
        <f t="shared" ca="1" si="29"/>
        <v>0</v>
      </c>
      <c r="V35" s="169">
        <f t="shared" ca="1" si="29"/>
        <v>0</v>
      </c>
      <c r="W35" s="207">
        <f t="shared" ca="1" si="29"/>
        <v>0</v>
      </c>
      <c r="X35" s="196"/>
      <c r="AC35" s="169">
        <f t="shared" ref="AC35" ca="1" si="30">IF($B35,ROUND(AC34*$N33,2),ROUND(SUMIF(OFFSET($B35,1,0,$D35),TRUE,OFFSET(AC35,1,0,$D35))/SUMIF(OFFSET($B35,1,0,$D35),TRUE,OFFSET($K35,1,0,$D35))*$N33,2))</f>
        <v>0</v>
      </c>
    </row>
    <row r="36" spans="1:29" s="45" customFormat="1" ht="12.75" customHeight="1" x14ac:dyDescent="0.25">
      <c r="A36" s="1"/>
      <c r="B36" s="1"/>
      <c r="C36" s="184">
        <v>-1</v>
      </c>
      <c r="D36" s="184"/>
      <c r="E36" s="184">
        <v>0</v>
      </c>
      <c r="F36" s="184">
        <v>0</v>
      </c>
      <c r="G36" s="184">
        <v>0</v>
      </c>
      <c r="H36" s="184">
        <v>0</v>
      </c>
      <c r="I36" s="1"/>
      <c r="J36" s="1"/>
      <c r="K36" s="1"/>
      <c r="L36" s="154"/>
      <c r="M36" s="154"/>
      <c r="N36" s="155"/>
      <c r="O36" s="154"/>
      <c r="P36" s="154"/>
      <c r="Q36" s="155"/>
      <c r="R36" s="154"/>
      <c r="S36" s="154"/>
      <c r="T36" s="154"/>
      <c r="U36" s="154"/>
      <c r="V36" s="154"/>
      <c r="W36" s="154"/>
      <c r="X36" s="186"/>
      <c r="AC36" s="154"/>
    </row>
    <row r="37" spans="1:29" ht="12" customHeight="1" x14ac:dyDescent="0.25">
      <c r="A37" s="1"/>
      <c r="B37" s="1"/>
      <c r="C37" s="1"/>
      <c r="D37" s="1"/>
      <c r="E37" s="1"/>
      <c r="F37" s="1"/>
      <c r="G37" s="1"/>
      <c r="H37" s="1"/>
      <c r="I37" s="1"/>
      <c r="J37" s="1"/>
      <c r="K37" s="1"/>
      <c r="L37" s="187"/>
      <c r="M37" s="187"/>
      <c r="N37" s="187"/>
      <c r="O37" s="187"/>
      <c r="P37" s="187"/>
      <c r="Q37" s="187"/>
      <c r="R37" s="187"/>
      <c r="S37" s="187"/>
      <c r="T37" s="187"/>
      <c r="U37" s="187"/>
      <c r="V37" s="187"/>
      <c r="W37" s="187"/>
      <c r="X37" s="188"/>
      <c r="AC37" s="187"/>
    </row>
    <row r="38" spans="1:29" x14ac:dyDescent="0.25">
      <c r="A38" s="1"/>
      <c r="B38" s="1"/>
      <c r="C38" s="1"/>
      <c r="D38" s="1"/>
      <c r="E38" s="1"/>
      <c r="F38" s="1"/>
      <c r="G38" s="1"/>
      <c r="H38" s="1"/>
      <c r="I38" s="1"/>
      <c r="J38" s="1"/>
      <c r="K38" s="1"/>
      <c r="L38" s="382">
        <f>DADOS!I32</f>
        <v>0</v>
      </c>
      <c r="M38" s="382"/>
      <c r="N38" s="382"/>
      <c r="O38" s="187"/>
      <c r="P38" s="189"/>
      <c r="Q38" s="379"/>
      <c r="R38" s="379"/>
      <c r="S38" s="379"/>
      <c r="T38" s="187"/>
      <c r="U38" s="187"/>
      <c r="V38" s="187"/>
      <c r="W38" s="187"/>
      <c r="X38" s="188"/>
      <c r="AC38" s="187"/>
    </row>
    <row r="39" spans="1:29" x14ac:dyDescent="0.25">
      <c r="A39" s="1"/>
      <c r="B39" s="1"/>
      <c r="C39" s="1"/>
      <c r="D39" s="1"/>
      <c r="E39" s="1"/>
      <c r="F39" s="1"/>
      <c r="G39" s="1"/>
      <c r="H39" s="1"/>
      <c r="I39" s="1"/>
      <c r="J39" s="1"/>
      <c r="K39" s="1"/>
      <c r="L39" s="190" t="s">
        <v>120</v>
      </c>
      <c r="M39" s="381"/>
      <c r="N39" s="381"/>
      <c r="O39" s="187"/>
      <c r="P39" s="189"/>
      <c r="Q39" s="379"/>
      <c r="R39" s="379"/>
      <c r="S39" s="379"/>
      <c r="T39" s="187"/>
      <c r="U39" s="187"/>
      <c r="V39" s="187"/>
      <c r="W39" s="187"/>
      <c r="X39" s="188"/>
      <c r="AC39" s="187"/>
    </row>
    <row r="40" spans="1:29" x14ac:dyDescent="0.25">
      <c r="A40" s="1"/>
      <c r="B40" s="1"/>
      <c r="C40" s="1"/>
      <c r="D40" s="1"/>
      <c r="E40" s="1"/>
      <c r="F40" s="1"/>
      <c r="G40" s="1"/>
      <c r="H40" s="1"/>
      <c r="I40" s="1"/>
      <c r="J40" s="1"/>
      <c r="K40" s="1"/>
      <c r="L40" s="189"/>
      <c r="M40" s="380"/>
      <c r="N40" s="381"/>
      <c r="O40" s="187"/>
      <c r="P40" s="189"/>
      <c r="Q40" s="379"/>
      <c r="R40" s="379"/>
      <c r="S40" s="379"/>
      <c r="T40" s="187"/>
      <c r="U40" s="187"/>
      <c r="V40" s="187"/>
      <c r="W40" s="187"/>
      <c r="X40" s="188"/>
      <c r="AC40" s="187"/>
    </row>
    <row r="41" spans="1:29" x14ac:dyDescent="0.25">
      <c r="A41" s="1"/>
      <c r="B41" s="1"/>
      <c r="C41" s="1"/>
      <c r="D41" s="1"/>
      <c r="E41" s="1"/>
      <c r="F41" s="1"/>
      <c r="G41" s="1"/>
      <c r="H41" s="1"/>
      <c r="I41" s="1"/>
      <c r="J41" s="1"/>
      <c r="K41" s="1"/>
      <c r="L41" s="385">
        <f ca="1">PO!K85</f>
        <v>45812</v>
      </c>
      <c r="M41" s="385"/>
      <c r="N41" s="385"/>
      <c r="O41" s="187"/>
      <c r="P41" s="187"/>
      <c r="Q41" s="187"/>
      <c r="R41" s="187"/>
      <c r="S41" s="187"/>
      <c r="T41" s="187"/>
      <c r="U41" s="187"/>
      <c r="V41" s="187"/>
      <c r="W41" s="187"/>
      <c r="X41" s="191"/>
      <c r="AC41" s="187"/>
    </row>
    <row r="42" spans="1:29" x14ac:dyDescent="0.25">
      <c r="A42" s="1"/>
      <c r="B42" s="1"/>
      <c r="C42" s="1"/>
      <c r="D42" s="1"/>
      <c r="E42" s="1"/>
      <c r="F42" s="1"/>
      <c r="G42" s="1"/>
      <c r="H42" s="1"/>
      <c r="I42" s="1"/>
      <c r="J42" s="1"/>
      <c r="K42" s="1"/>
      <c r="L42" s="192" t="s">
        <v>121</v>
      </c>
      <c r="M42" s="193"/>
      <c r="N42" s="193"/>
      <c r="O42" s="187"/>
      <c r="P42" s="187"/>
      <c r="Q42" s="187"/>
      <c r="R42" s="187"/>
      <c r="S42" s="187"/>
      <c r="T42" s="187"/>
      <c r="U42" s="187"/>
      <c r="V42" s="187"/>
      <c r="W42" s="187"/>
      <c r="X42" s="191"/>
      <c r="AC42" s="187"/>
    </row>
    <row r="43" spans="1:29" x14ac:dyDescent="0.25">
      <c r="A43" s="1"/>
      <c r="B43" s="1"/>
      <c r="C43" s="1"/>
      <c r="D43" s="1"/>
      <c r="E43" s="1"/>
      <c r="F43" s="1"/>
      <c r="G43" s="1"/>
      <c r="H43" s="1"/>
      <c r="I43" s="1"/>
      <c r="J43" s="1"/>
      <c r="K43" s="1"/>
      <c r="L43" s="187"/>
      <c r="M43" s="187"/>
      <c r="N43" s="187"/>
      <c r="O43" s="187"/>
      <c r="P43" s="187"/>
      <c r="Q43" s="187"/>
      <c r="R43" s="187"/>
      <c r="S43" s="187"/>
      <c r="T43" s="187"/>
      <c r="U43" s="187"/>
      <c r="V43" s="187"/>
      <c r="W43" s="187"/>
      <c r="X43" s="191"/>
      <c r="AC43" s="187"/>
    </row>
    <row r="44" spans="1:29" x14ac:dyDescent="0.25">
      <c r="A44" s="1"/>
      <c r="B44" s="1"/>
      <c r="C44" s="1"/>
      <c r="D44" s="1"/>
      <c r="E44" s="1"/>
      <c r="F44" s="1"/>
      <c r="G44" s="1"/>
      <c r="H44" s="1"/>
      <c r="I44" s="1"/>
      <c r="J44" s="1"/>
      <c r="K44" s="1"/>
      <c r="L44" s="187"/>
      <c r="M44" s="187"/>
      <c r="N44" s="194"/>
      <c r="O44" s="187"/>
      <c r="P44" s="187"/>
      <c r="Q44" s="187"/>
      <c r="R44" s="187"/>
      <c r="S44" s="187"/>
      <c r="T44" s="187"/>
      <c r="U44" s="187"/>
      <c r="V44" s="187"/>
      <c r="W44" s="187"/>
      <c r="X44" s="188"/>
      <c r="AC44" s="187"/>
    </row>
    <row r="45" spans="1:29" x14ac:dyDescent="0.25">
      <c r="A45" s="1"/>
      <c r="B45" s="1"/>
      <c r="C45" s="1"/>
      <c r="D45" s="1"/>
      <c r="E45" s="1"/>
      <c r="F45" s="1"/>
      <c r="G45" s="1"/>
      <c r="H45" s="1"/>
      <c r="I45" s="1"/>
      <c r="J45" s="1"/>
      <c r="K45" s="1"/>
      <c r="L45" s="187"/>
      <c r="M45" s="187"/>
      <c r="N45" s="194"/>
      <c r="O45" s="187"/>
      <c r="P45" s="187"/>
      <c r="Q45" s="187"/>
      <c r="R45" s="187"/>
      <c r="S45" s="187"/>
      <c r="T45" s="187"/>
      <c r="U45" s="187"/>
      <c r="V45" s="187"/>
      <c r="W45" s="187"/>
      <c r="X45" s="188"/>
      <c r="AC45" s="187"/>
    </row>
    <row r="46" spans="1:29" x14ac:dyDescent="0.25">
      <c r="A46" s="1"/>
      <c r="B46" s="1"/>
      <c r="C46" s="1"/>
      <c r="D46" s="1"/>
      <c r="E46" s="1"/>
      <c r="F46" s="1"/>
      <c r="G46" s="1"/>
      <c r="H46" s="1"/>
      <c r="I46" s="1"/>
      <c r="J46" s="1"/>
      <c r="K46" s="1"/>
      <c r="L46" s="82"/>
      <c r="M46" s="82"/>
      <c r="N46" s="7"/>
      <c r="O46" s="82"/>
      <c r="P46" s="82"/>
      <c r="Q46" s="82"/>
      <c r="R46" s="82"/>
      <c r="S46" s="82"/>
      <c r="T46" s="82"/>
      <c r="U46" s="82"/>
      <c r="V46" s="82"/>
      <c r="W46" s="187"/>
      <c r="X46" s="188"/>
      <c r="AC46" s="82"/>
    </row>
  </sheetData>
  <sheetProtection password="C95B" sheet="1" objects="1" scenarios="1"/>
  <mergeCells count="31">
    <mergeCell ref="L41:N41"/>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30:L32"/>
    <mergeCell ref="L8:M8"/>
    <mergeCell ref="N11:N13"/>
    <mergeCell ref="M18:M20"/>
    <mergeCell ref="N18:N20"/>
    <mergeCell ref="Q40:S40"/>
    <mergeCell ref="M40:N40"/>
    <mergeCell ref="Q39:S39"/>
    <mergeCell ref="Q38:S38"/>
    <mergeCell ref="L38:N38"/>
    <mergeCell ref="M39:N39"/>
    <mergeCell ref="M30:M32"/>
    <mergeCell ref="N30:N32"/>
    <mergeCell ref="L33:L35"/>
    <mergeCell ref="M33:M35"/>
    <mergeCell ref="N33:N35"/>
  </mergeCells>
  <phoneticPr fontId="20" type="noConversion"/>
  <conditionalFormatting sqref="L11:N11 L12:M13 L18:N18">
    <cfRule type="expression" dxfId="83" priority="1103" stopIfTrue="1">
      <formula>$C13=1</formula>
    </cfRule>
  </conditionalFormatting>
  <conditionalFormatting sqref="O11 O18">
    <cfRule type="expression" dxfId="82" priority="1175" stopIfTrue="1">
      <formula>$B13=FALSE</formula>
    </cfRule>
    <cfRule type="expression" dxfId="81" priority="1176" stopIfTrue="1">
      <formula>$C13=1</formula>
    </cfRule>
  </conditionalFormatting>
  <conditionalFormatting sqref="P12:W12">
    <cfRule type="expression" dxfId="80" priority="1165" stopIfTrue="1">
      <formula>AND(ISNUMBER(O13),O13&gt;=$N11)</formula>
    </cfRule>
    <cfRule type="cellIs" dxfId="79" priority="1166" stopIfTrue="1" operator="notBetween">
      <formula>0</formula>
      <formula>1</formula>
    </cfRule>
  </conditionalFormatting>
  <conditionalFormatting sqref="P13:W13">
    <cfRule type="expression" dxfId="78" priority="1167" stopIfTrue="1">
      <formula>AND(ISNUMBER(O13),O13&gt;=$N11)</formula>
    </cfRule>
    <cfRule type="cellIs" dxfId="77" priority="1168" stopIfTrue="1" operator="notBetween">
      <formula>0</formula>
      <formula>$N11</formula>
    </cfRule>
  </conditionalFormatting>
  <conditionalFormatting sqref="P14:W14">
    <cfRule type="expression" dxfId="76" priority="1169" stopIfTrue="1">
      <formula>AND(ISNUMBER(O17),O17&gt;=$N14)</formula>
    </cfRule>
  </conditionalFormatting>
  <conditionalFormatting sqref="P15:W15">
    <cfRule type="expression" dxfId="75" priority="1170" stopIfTrue="1">
      <formula>AND(ISNUMBER(O17),O17&gt;=$N14)</formula>
    </cfRule>
  </conditionalFormatting>
  <conditionalFormatting sqref="P16:W16">
    <cfRule type="expression" dxfId="74" priority="1171" stopIfTrue="1">
      <formula>AND(ISNUMBER(O17),O17&gt;=$N14)</formula>
    </cfRule>
    <cfRule type="cellIs" dxfId="73" priority="1172" stopIfTrue="1" operator="notBetween">
      <formula>0</formula>
      <formula>1</formula>
    </cfRule>
  </conditionalFormatting>
  <conditionalFormatting sqref="P17:W17">
    <cfRule type="expression" dxfId="72" priority="1173" stopIfTrue="1">
      <formula>AND(ISNUMBER(O17),O17&gt;=$N14)</formula>
    </cfRule>
    <cfRule type="cellIs" dxfId="71" priority="1174" stopIfTrue="1" operator="notBetween">
      <formula>0</formula>
      <formula>$N14</formula>
    </cfRule>
  </conditionalFormatting>
  <conditionalFormatting sqref="L8">
    <cfRule type="cellIs" dxfId="70" priority="1160" stopIfTrue="1" operator="notEqual">
      <formula>""</formula>
    </cfRule>
  </conditionalFormatting>
  <conditionalFormatting sqref="N9">
    <cfRule type="expression" dxfId="69" priority="1159" stopIfTrue="1">
      <formula>TipoOrçamento&lt;&gt;"REPROGRAMADOAC"</formula>
    </cfRule>
  </conditionalFormatting>
  <conditionalFormatting sqref="L19:M20">
    <cfRule type="expression" dxfId="68" priority="1994" stopIfTrue="1">
      <formula>#REF!=1</formula>
    </cfRule>
  </conditionalFormatting>
  <conditionalFormatting sqref="P11:W11">
    <cfRule type="expression" dxfId="67" priority="314" stopIfTrue="1">
      <formula>AND(ISNUMBER(O13),O13&gt;=$N11)</formula>
    </cfRule>
    <cfRule type="expression" dxfId="66" priority="315" stopIfTrue="1">
      <formula>$B13=FALSE</formula>
    </cfRule>
    <cfRule type="expression" dxfId="65" priority="316" stopIfTrue="1">
      <formula>$C13=1</formula>
    </cfRule>
  </conditionalFormatting>
  <conditionalFormatting sqref="P19:W19">
    <cfRule type="expression" dxfId="64" priority="265" stopIfTrue="1">
      <formula>AND(ISNUMBER(O20),O20&gt;=$N18)</formula>
    </cfRule>
    <cfRule type="cellIs" dxfId="63" priority="266" stopIfTrue="1" operator="notBetween">
      <formula>0</formula>
      <formula>1</formula>
    </cfRule>
  </conditionalFormatting>
  <conditionalFormatting sqref="P20:W20">
    <cfRule type="expression" dxfId="62" priority="267" stopIfTrue="1">
      <formula>AND(ISNUMBER(O20),O20&gt;=$N18)</formula>
    </cfRule>
    <cfRule type="cellIs" dxfId="61" priority="268" stopIfTrue="1" operator="notBetween">
      <formula>0</formula>
      <formula>$N18</formula>
    </cfRule>
  </conditionalFormatting>
  <conditionalFormatting sqref="O10:W10">
    <cfRule type="expression" dxfId="60" priority="237" stopIfTrue="1">
      <formula>1=1</formula>
    </cfRule>
  </conditionalFormatting>
  <conditionalFormatting sqref="P18:W18">
    <cfRule type="expression" dxfId="59" priority="192" stopIfTrue="1">
      <formula>AND(ISNUMBER(O20),O20&gt;=$N18)</formula>
    </cfRule>
    <cfRule type="expression" dxfId="58" priority="193" stopIfTrue="1">
      <formula>$B20=FALSE</formula>
    </cfRule>
    <cfRule type="expression" dxfId="57" priority="194" stopIfTrue="1">
      <formula>$C20=1</formula>
    </cfRule>
  </conditionalFormatting>
  <conditionalFormatting sqref="AC18">
    <cfRule type="expression" dxfId="56" priority="112" stopIfTrue="1">
      <formula>AND(ISNUMBER(AB20),AB20&gt;=$N18)</formula>
    </cfRule>
    <cfRule type="expression" dxfId="55" priority="113" stopIfTrue="1">
      <formula>$B20=FALSE</formula>
    </cfRule>
    <cfRule type="expression" dxfId="54" priority="114" stopIfTrue="1">
      <formula>$C20=1</formula>
    </cfRule>
  </conditionalFormatting>
  <conditionalFormatting sqref="AC12">
    <cfRule type="expression" dxfId="53" priority="127" stopIfTrue="1">
      <formula>AND(ISNUMBER(AB13),AB13&gt;=$N11)</formula>
    </cfRule>
    <cfRule type="cellIs" dxfId="52" priority="128" stopIfTrue="1" operator="notBetween">
      <formula>0</formula>
      <formula>1</formula>
    </cfRule>
  </conditionalFormatting>
  <conditionalFormatting sqref="AC13">
    <cfRule type="expression" dxfId="51" priority="129" stopIfTrue="1">
      <formula>AND(ISNUMBER(AB13),AB13&gt;=$N11)</formula>
    </cfRule>
    <cfRule type="cellIs" dxfId="50" priority="130" stopIfTrue="1" operator="notBetween">
      <formula>0</formula>
      <formula>$N11</formula>
    </cfRule>
  </conditionalFormatting>
  <conditionalFormatting sqref="AC14">
    <cfRule type="expression" dxfId="49" priority="131" stopIfTrue="1">
      <formula>AND(ISNUMBER(AB17),AB17&gt;=$N14)</formula>
    </cfRule>
  </conditionalFormatting>
  <conditionalFormatting sqref="AC15">
    <cfRule type="expression" dxfId="48" priority="132" stopIfTrue="1">
      <formula>AND(ISNUMBER(AB17),AB17&gt;=$N14)</formula>
    </cfRule>
  </conditionalFormatting>
  <conditionalFormatting sqref="AC16">
    <cfRule type="expression" dxfId="47" priority="133" stopIfTrue="1">
      <formula>AND(ISNUMBER(AB17),AB17&gt;=$N14)</formula>
    </cfRule>
    <cfRule type="cellIs" dxfId="46" priority="134" stopIfTrue="1" operator="notBetween">
      <formula>0</formula>
      <formula>1</formula>
    </cfRule>
  </conditionalFormatting>
  <conditionalFormatting sqref="AC17">
    <cfRule type="expression" dxfId="45" priority="135" stopIfTrue="1">
      <formula>AND(ISNUMBER(AB17),AB17&gt;=$N14)</formula>
    </cfRule>
    <cfRule type="cellIs" dxfId="44" priority="136" stopIfTrue="1" operator="notBetween">
      <formula>0</formula>
      <formula>$N14</formula>
    </cfRule>
  </conditionalFormatting>
  <conditionalFormatting sqref="AC11">
    <cfRule type="expression" dxfId="43" priority="124" stopIfTrue="1">
      <formula>AND(ISNUMBER(AB13),AB13&gt;=$N11)</formula>
    </cfRule>
    <cfRule type="expression" dxfId="42" priority="125" stopIfTrue="1">
      <formula>$B13=FALSE</formula>
    </cfRule>
    <cfRule type="expression" dxfId="41" priority="126" stopIfTrue="1">
      <formula>$C13=1</formula>
    </cfRule>
  </conditionalFormatting>
  <conditionalFormatting sqref="AC19">
    <cfRule type="expression" dxfId="40" priority="120" stopIfTrue="1">
      <formula>AND(ISNUMBER(AB20),AB20&gt;=$N18)</formula>
    </cfRule>
    <cfRule type="cellIs" dxfId="39" priority="121" stopIfTrue="1" operator="notBetween">
      <formula>0</formula>
      <formula>1</formula>
    </cfRule>
  </conditionalFormatting>
  <conditionalFormatting sqref="AC20">
    <cfRule type="expression" dxfId="38" priority="122" stopIfTrue="1">
      <formula>AND(ISNUMBER(AB20),AB20&gt;=$N18)</formula>
    </cfRule>
    <cfRule type="cellIs" dxfId="37" priority="123" stopIfTrue="1" operator="notBetween">
      <formula>0</formula>
      <formula>$N18</formula>
    </cfRule>
  </conditionalFormatting>
  <conditionalFormatting sqref="AC10">
    <cfRule type="expression" dxfId="36" priority="115" stopIfTrue="1">
      <formula>1=1</formula>
    </cfRule>
  </conditionalFormatting>
  <conditionalFormatting sqref="L21:N21 L24:N24 L27:N27 L30:N30 L22:M23 L25:M26 L28:M29">
    <cfRule type="expression" dxfId="35" priority="45" stopIfTrue="1">
      <formula>$C23=1</formula>
    </cfRule>
  </conditionalFormatting>
  <conditionalFormatting sqref="O21 O24 O27 O30">
    <cfRule type="expression" dxfId="34" priority="50" stopIfTrue="1">
      <formula>$B23=FALSE</formula>
    </cfRule>
    <cfRule type="expression" dxfId="33" priority="51" stopIfTrue="1">
      <formula>$C23=1</formula>
    </cfRule>
  </conditionalFormatting>
  <conditionalFormatting sqref="P22:W22 P25:W25 P28:W28 P31:W31">
    <cfRule type="expression" dxfId="32" priority="46" stopIfTrue="1">
      <formula>AND(ISNUMBER(O23),O23&gt;=$N21)</formula>
    </cfRule>
    <cfRule type="cellIs" dxfId="31" priority="47" stopIfTrue="1" operator="notBetween">
      <formula>0</formula>
      <formula>1</formula>
    </cfRule>
  </conditionalFormatting>
  <conditionalFormatting sqref="P23:W23 P26:W26 P29:W29 P32:W32">
    <cfRule type="expression" dxfId="30" priority="48" stopIfTrue="1">
      <formula>AND(ISNUMBER(O23),O23&gt;=$N21)</formula>
    </cfRule>
    <cfRule type="cellIs" dxfId="29" priority="49" stopIfTrue="1" operator="notBetween">
      <formula>0</formula>
      <formula>$N21</formula>
    </cfRule>
  </conditionalFormatting>
  <conditionalFormatting sqref="P21:W21 P24:W24 P27:W27 P30:W30">
    <cfRule type="expression" dxfId="28" priority="42" stopIfTrue="1">
      <formula>AND(ISNUMBER(O23),O23&gt;=$N21)</formula>
    </cfRule>
    <cfRule type="expression" dxfId="27" priority="43" stopIfTrue="1">
      <formula>$B23=FALSE</formula>
    </cfRule>
    <cfRule type="expression" dxfId="26" priority="44" stopIfTrue="1">
      <formula>$C23=1</formula>
    </cfRule>
  </conditionalFormatting>
  <conditionalFormatting sqref="AC22 AC25 AC28 AC31">
    <cfRule type="expression" dxfId="25" priority="38" stopIfTrue="1">
      <formula>AND(ISNUMBER(AB23),AB23&gt;=$N21)</formula>
    </cfRule>
    <cfRule type="cellIs" dxfId="24" priority="39" stopIfTrue="1" operator="notBetween">
      <formula>0</formula>
      <formula>1</formula>
    </cfRule>
  </conditionalFormatting>
  <conditionalFormatting sqref="AC23 AC26 AC29 AC32">
    <cfRule type="expression" dxfId="23" priority="40" stopIfTrue="1">
      <formula>AND(ISNUMBER(AB23),AB23&gt;=$N21)</formula>
    </cfRule>
    <cfRule type="cellIs" dxfId="22" priority="41" stopIfTrue="1" operator="notBetween">
      <formula>0</formula>
      <formula>$N21</formula>
    </cfRule>
  </conditionalFormatting>
  <conditionalFormatting sqref="AC21 AC24 AC27 AC30">
    <cfRule type="expression" dxfId="21" priority="35" stopIfTrue="1">
      <formula>AND(ISNUMBER(AB23),AB23&gt;=$N21)</formula>
    </cfRule>
    <cfRule type="expression" dxfId="20" priority="36" stopIfTrue="1">
      <formula>$B23=FALSE</formula>
    </cfRule>
    <cfRule type="expression" dxfId="19" priority="37" stopIfTrue="1">
      <formula>$C23=1</formula>
    </cfRule>
  </conditionalFormatting>
  <conditionalFormatting sqref="L31:M32">
    <cfRule type="expression" dxfId="18" priority="3451" stopIfTrue="1">
      <formula>$C36=1</formula>
    </cfRule>
  </conditionalFormatting>
  <conditionalFormatting sqref="L33:N33">
    <cfRule type="expression" dxfId="17" priority="11" stopIfTrue="1">
      <formula>$C35=1</formula>
    </cfRule>
  </conditionalFormatting>
  <conditionalFormatting sqref="O33">
    <cfRule type="expression" dxfId="16" priority="16" stopIfTrue="1">
      <formula>$B35=FALSE</formula>
    </cfRule>
    <cfRule type="expression" dxfId="15" priority="17" stopIfTrue="1">
      <formula>$C35=1</formula>
    </cfRule>
  </conditionalFormatting>
  <conditionalFormatting sqref="P34:W34">
    <cfRule type="expression" dxfId="14" priority="12" stopIfTrue="1">
      <formula>AND(ISNUMBER(O35),O35&gt;=$N33)</formula>
    </cfRule>
    <cfRule type="cellIs" dxfId="13" priority="13" stopIfTrue="1" operator="notBetween">
      <formula>0</formula>
      <formula>1</formula>
    </cfRule>
  </conditionalFormatting>
  <conditionalFormatting sqref="P35:W35">
    <cfRule type="expression" dxfId="12" priority="14" stopIfTrue="1">
      <formula>AND(ISNUMBER(O35),O35&gt;=$N33)</formula>
    </cfRule>
    <cfRule type="cellIs" dxfId="11" priority="15" stopIfTrue="1" operator="notBetween">
      <formula>0</formula>
      <formula>$N33</formula>
    </cfRule>
  </conditionalFormatting>
  <conditionalFormatting sqref="P33:W33">
    <cfRule type="expression" dxfId="10" priority="8" stopIfTrue="1">
      <formula>AND(ISNUMBER(O35),O35&gt;=$N33)</formula>
    </cfRule>
    <cfRule type="expression" dxfId="9" priority="9" stopIfTrue="1">
      <formula>$B35=FALSE</formula>
    </cfRule>
    <cfRule type="expression" dxfId="8" priority="10" stopIfTrue="1">
      <formula>$C35=1</formula>
    </cfRule>
  </conditionalFormatting>
  <conditionalFormatting sqref="AC34">
    <cfRule type="expression" dxfId="7" priority="4" stopIfTrue="1">
      <formula>AND(ISNUMBER(AB35),AB35&gt;=$N33)</formula>
    </cfRule>
    <cfRule type="cellIs" dxfId="6" priority="5" stopIfTrue="1" operator="notBetween">
      <formula>0</formula>
      <formula>1</formula>
    </cfRule>
  </conditionalFormatting>
  <conditionalFormatting sqref="AC35">
    <cfRule type="expression" dxfId="5" priority="6" stopIfTrue="1">
      <formula>AND(ISNUMBER(AB35),AB35&gt;=$N33)</formula>
    </cfRule>
    <cfRule type="cellIs" dxfId="4" priority="7" stopIfTrue="1" operator="notBetween">
      <formula>0</formula>
      <formula>$N33</formula>
    </cfRule>
  </conditionalFormatting>
  <conditionalFormatting sqref="AC33">
    <cfRule type="expression" dxfId="3" priority="1" stopIfTrue="1">
      <formula>AND(ISNUMBER(AB35),AB35&gt;=$N33)</formula>
    </cfRule>
    <cfRule type="expression" dxfId="2" priority="2" stopIfTrue="1">
      <formula>$B35=FALSE</formula>
    </cfRule>
    <cfRule type="expression" dxfId="1" priority="3" stopIfTrue="1">
      <formula>$C35=1</formula>
    </cfRule>
  </conditionalFormatting>
  <conditionalFormatting sqref="L34:M35">
    <cfRule type="expression" dxfId="0" priority="4860" stopIfTrue="1">
      <formula>#REF!=1</formula>
    </cfRule>
  </conditionalFormatting>
  <dataValidations disablePrompts="1"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P30:W30 AC21 AC24 AC27 AC30 P33:W33 AC33">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2025-06-03T13:49:53Z</cp:lastPrinted>
  <dcterms:created xsi:type="dcterms:W3CDTF">1998-03-27T18:43:07Z</dcterms:created>
  <dcterms:modified xsi:type="dcterms:W3CDTF">2025-06-04T13:57:33Z</dcterms:modified>
</cp:coreProperties>
</file>