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EstaPasta_de_trabalho"/>
  <mc:AlternateContent xmlns:mc="http://schemas.openxmlformats.org/markup-compatibility/2006">
    <mc:Choice Requires="x15">
      <x15ac:absPath xmlns:x15ac="http://schemas.microsoft.com/office/spreadsheetml/2010/11/ac" url="H:\00 - ARQUIVO DIGITAL DE PROJETOS\24 - Pavimentações Ruas e Drenagens Pluvias\2024 ESTRADAS DO INTERIOR\SÍLVIO BERRETTI\PROJETO 500 METROS 2025\"/>
    </mc:Choice>
  </mc:AlternateContent>
  <workbookProtection workbookPassword="C95B" lockStructure="1"/>
  <bookViews>
    <workbookView xWindow="0" yWindow="0" windowWidth="28800" windowHeight="12336"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0">DADOS!$A$1:$X$87</definedName>
    <definedName name="_xlnm.Print_Area" localSheetId="4">PLQ!$B$1:$O$55</definedName>
    <definedName name="_xlnm.Print_Area" localSheetId="3">PO!$K$1:$T$64</definedName>
    <definedName name="_xlnm.Database">TEXT(Import.DataBase,"mm-aaaa")</definedName>
    <definedName name="CFF.ColunaPadrão">CFF!$AC:$AC</definedName>
    <definedName name="CFF.Colunas">CFF!$P$10:$X$10</definedName>
    <definedName name="CFF.Dados">OFFSET(CFF!$L$17,1,0):OFFSET(CFF!$X$33,-1,-1)</definedName>
    <definedName name="CFF.IncluirLinha">MAX(PO!$V$12:$V$49)*CFF.NumLinha-ROW(CFF!$F$33)+ROW(CFF!$F$17)+1</definedName>
    <definedName name="CFF.Item">OFFSET(CFF!$L$17,1,0):OFFSET(CFF!$X$33,-1,-1)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OFFSET(PO!$M$12,1,0):OFFSET(PO!$M$49,-1,0)</definedName>
    <definedName name="Import.CR">DADOS!$A$29</definedName>
    <definedName name="Import.CTEF">DADOS!$A$43</definedName>
    <definedName name="Import.CustoUnitário">OFFSET(PO!$Q$12,1,0):OFFSET(PO!$Q$49,-1,0)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OFFSET(PO!$N$12,1,0):OFFSET(PO!$N$49,-1,0)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OFFSET(PO!$L$12,1,0):OFFSET(PO!$L$49,-1,0)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OFFSET(PO!$K$12,1,0):OFFSET(PO!$K$49,-1,0)</definedName>
    <definedName name="Import.Localidade">DADOS!$K$32</definedName>
    <definedName name="Import.LocalSINAPI">DADOS!$D$38</definedName>
    <definedName name="Import.Município">DADOS!$G$32</definedName>
    <definedName name="Import.Nível">OFFSET(PO!$J$12,1,0):OFFSET(PO!$J$49,-1,0)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OFFSET(PLQ!$F$12,1,0):OFFSET(PLQ!$P$49,-1,-1)</definedName>
    <definedName name="Import.POArred">PO!$X$3:$X$7</definedName>
    <definedName name="Import.PreçoTotal">OFFSET(PO!$T$12,1,0):OFFSET(PO!$T$49,-1,0)</definedName>
    <definedName name="Import.PreçoUnitário">OFFSET(PO!$S$12,1,0):OFFSET(PO!$S$49,-1,0)</definedName>
    <definedName name="Import.Programa">DADOS!$F$29</definedName>
    <definedName name="Import.Proponente">DADOS!$A$32</definedName>
    <definedName name="Import.Quantidade">OFFSET(PO!$P$12,1,0):OFFSET(PO!$P$49,-1,0)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OFFSET(PO!$O$12,1,0):OFFSET(PO!$O$49,-1,0)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OFFSET(PO!$Z$12,1,0):OFFSET(PO!$Z$49,-1,0)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PO!$K$50</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PLQ!$B$9:OFFSET(PLQ!$B$49,-1,0)</definedName>
    <definedName name="PLQ.LinhaPadrão">PLQ!$A$11:$P$11</definedName>
    <definedName name="PLQ.qtde.frentes">COUNTA(PLQ!$F$9:$P$9)</definedName>
    <definedName name="PO.BDI">OFFSET(PO!$R$12,1,0):OFFSET(PO!$R$49,-1,0)</definedName>
    <definedName name="PO.CustoRef">OFFSET(PO!$Y$12,1,0):OFFSET(PO!$Y$49,-1,0)</definedName>
    <definedName name="PO.CustoUnitario">ROUND(PO!$Q1,15-13*PO!$X$4)</definedName>
    <definedName name="PO.Dados">PO!$C$12:OFFSET(PO!$Z$49,-1,0)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F30" i="13" l="1"/>
  <c r="A30" i="13"/>
  <c r="W30" i="12"/>
  <c r="A30" i="12"/>
  <c r="V30" i="12" s="1"/>
  <c r="E30" i="13" l="1"/>
  <c r="I30" i="12"/>
  <c r="B30" i="12"/>
  <c r="H30" i="12"/>
  <c r="A44" i="13"/>
  <c r="W44" i="12"/>
  <c r="A44" i="12"/>
  <c r="F46" i="13"/>
  <c r="F47" i="13"/>
  <c r="A47" i="13"/>
  <c r="W47" i="12"/>
  <c r="A47" i="12"/>
  <c r="H47" i="12" s="1"/>
  <c r="F48" i="13"/>
  <c r="A48" i="13"/>
  <c r="W48" i="12"/>
  <c r="A48" i="12"/>
  <c r="A46" i="13"/>
  <c r="W46" i="12"/>
  <c r="A46" i="12"/>
  <c r="H46" i="12" s="1"/>
  <c r="A42" i="13"/>
  <c r="A41" i="13"/>
  <c r="W42" i="12"/>
  <c r="A42" i="12"/>
  <c r="V42" i="12" s="1"/>
  <c r="W41" i="12"/>
  <c r="A41" i="12"/>
  <c r="H41" i="12" s="1"/>
  <c r="H44" i="12" l="1"/>
  <c r="V44" i="12"/>
  <c r="I44" i="12"/>
  <c r="B44" i="12"/>
  <c r="V47" i="12"/>
  <c r="V46" i="12"/>
  <c r="B46" i="12"/>
  <c r="I47" i="12"/>
  <c r="B47" i="12"/>
  <c r="E47" i="13"/>
  <c r="H48" i="12"/>
  <c r="V48" i="12"/>
  <c r="I48" i="12"/>
  <c r="E48" i="13"/>
  <c r="B48" i="12"/>
  <c r="E46" i="13"/>
  <c r="I46" i="12"/>
  <c r="V41" i="12"/>
  <c r="H42" i="12"/>
  <c r="I41" i="12"/>
  <c r="I42" i="12"/>
  <c r="B41" i="12"/>
  <c r="B42" i="12"/>
  <c r="A40" i="13" l="1"/>
  <c r="A39" i="13"/>
  <c r="A38" i="13"/>
  <c r="W40" i="12"/>
  <c r="A40" i="12"/>
  <c r="W39" i="12"/>
  <c r="A39" i="12"/>
  <c r="W38" i="12"/>
  <c r="A38" i="12"/>
  <c r="I39" i="12" l="1"/>
  <c r="I40" i="12"/>
  <c r="H38" i="12"/>
  <c r="V38" i="12"/>
  <c r="H39" i="12"/>
  <c r="V39" i="12"/>
  <c r="H40" i="12"/>
  <c r="V40" i="12"/>
  <c r="I38" i="12"/>
  <c r="B38" i="12"/>
  <c r="B39" i="12"/>
  <c r="B40" i="12"/>
  <c r="A36" i="13"/>
  <c r="F35" i="13"/>
  <c r="A35" i="13"/>
  <c r="W36" i="12"/>
  <c r="A36" i="12"/>
  <c r="V36" i="12" s="1"/>
  <c r="W35" i="12"/>
  <c r="A35" i="12"/>
  <c r="V35" i="12" s="1"/>
  <c r="P34" i="12"/>
  <c r="P28" i="12" s="1"/>
  <c r="A34" i="13"/>
  <c r="W34" i="12"/>
  <c r="A34" i="12"/>
  <c r="F33" i="13"/>
  <c r="A33" i="13"/>
  <c r="W33" i="12"/>
  <c r="A33" i="12"/>
  <c r="B33" i="12" s="1"/>
  <c r="P32" i="12" l="1"/>
  <c r="P29" i="12"/>
  <c r="F34" i="13"/>
  <c r="E34" i="13" s="1"/>
  <c r="H35" i="12"/>
  <c r="B35" i="12"/>
  <c r="B36" i="12"/>
  <c r="H36" i="12"/>
  <c r="E35" i="13"/>
  <c r="I35" i="12"/>
  <c r="I36" i="12"/>
  <c r="E33" i="13"/>
  <c r="I34" i="12"/>
  <c r="B34" i="12"/>
  <c r="H34" i="12"/>
  <c r="V34" i="12"/>
  <c r="H33" i="12"/>
  <c r="V33" i="12"/>
  <c r="I33" i="12"/>
  <c r="P36" i="12" l="1"/>
  <c r="A32" i="13"/>
  <c r="W32" i="12"/>
  <c r="A32" i="12"/>
  <c r="H32" i="12" s="1"/>
  <c r="F31" i="13"/>
  <c r="A31" i="13"/>
  <c r="W31" i="12"/>
  <c r="A31" i="12"/>
  <c r="B31" i="12" s="1"/>
  <c r="A29" i="13"/>
  <c r="W29" i="12"/>
  <c r="A29" i="12"/>
  <c r="V29" i="12" s="1"/>
  <c r="A28" i="13"/>
  <c r="W28" i="12"/>
  <c r="A28" i="12"/>
  <c r="V28" i="12" s="1"/>
  <c r="V32" i="12" l="1"/>
  <c r="I32" i="12"/>
  <c r="B32" i="12"/>
  <c r="H31" i="12"/>
  <c r="V31" i="12"/>
  <c r="E31" i="13"/>
  <c r="I31" i="12"/>
  <c r="H29" i="12"/>
  <c r="I29" i="12"/>
  <c r="B29" i="12"/>
  <c r="H28" i="12"/>
  <c r="I28" i="12"/>
  <c r="B28" i="12"/>
  <c r="P22" i="12"/>
  <c r="F22" i="13" s="1"/>
  <c r="P21" i="12"/>
  <c r="F21" i="13" s="1"/>
  <c r="A23" i="13"/>
  <c r="A22" i="13"/>
  <c r="W23" i="12"/>
  <c r="A23" i="12"/>
  <c r="V23" i="12" s="1"/>
  <c r="W22" i="12"/>
  <c r="A22" i="12"/>
  <c r="H22" i="12" s="1"/>
  <c r="A21" i="13"/>
  <c r="W21" i="12"/>
  <c r="A21" i="12"/>
  <c r="V21" i="12" s="1"/>
  <c r="P23" i="12" l="1"/>
  <c r="F23" i="13" s="1"/>
  <c r="E23" i="13" s="1"/>
  <c r="B23" i="12"/>
  <c r="V22" i="12"/>
  <c r="H23" i="12"/>
  <c r="B22" i="12"/>
  <c r="E22" i="13"/>
  <c r="I22" i="12"/>
  <c r="I23" i="12"/>
  <c r="H21" i="12"/>
  <c r="E21" i="13"/>
  <c r="I21" i="12"/>
  <c r="B21" i="12"/>
  <c r="A26" i="13"/>
  <c r="A25" i="13"/>
  <c r="W26" i="12"/>
  <c r="A26" i="12"/>
  <c r="W25" i="12"/>
  <c r="A25" i="12"/>
  <c r="P24" i="12"/>
  <c r="P25" i="12" s="1"/>
  <c r="P26" i="12" s="1"/>
  <c r="A24" i="13"/>
  <c r="W24" i="12"/>
  <c r="A24" i="12"/>
  <c r="F24" i="13" l="1"/>
  <c r="E24" i="13" s="1"/>
  <c r="F25" i="13"/>
  <c r="E25" i="13" s="1"/>
  <c r="F26" i="13"/>
  <c r="E26" i="13" s="1"/>
  <c r="I26" i="12"/>
  <c r="I25" i="12"/>
  <c r="H25" i="12"/>
  <c r="V25" i="12"/>
  <c r="H26" i="12"/>
  <c r="V26" i="12"/>
  <c r="B25" i="12"/>
  <c r="B26" i="12"/>
  <c r="I24" i="12"/>
  <c r="B24" i="12"/>
  <c r="H24" i="12"/>
  <c r="V24" i="12"/>
  <c r="F20" i="13" l="1"/>
  <c r="A20" i="13"/>
  <c r="W20" i="12"/>
  <c r="A20" i="12"/>
  <c r="F14" i="13"/>
  <c r="A14" i="13"/>
  <c r="W14" i="12"/>
  <c r="A14" i="12"/>
  <c r="E20" i="13" l="1"/>
  <c r="I20" i="12"/>
  <c r="B20" i="12"/>
  <c r="H20" i="12"/>
  <c r="V20" i="12"/>
  <c r="I14" i="12"/>
  <c r="E14" i="13"/>
  <c r="B14" i="12"/>
  <c r="H14" i="12"/>
  <c r="V14" i="12"/>
  <c r="F32" i="13" l="1"/>
  <c r="E32" i="13" s="1"/>
  <c r="F28" i="13"/>
  <c r="E28" i="13" s="1"/>
  <c r="F29" i="13"/>
  <c r="E29" i="13" s="1"/>
  <c r="P38" i="12" l="1"/>
  <c r="F41" i="13" l="1"/>
  <c r="E41" i="13" s="1"/>
  <c r="P42" i="12"/>
  <c r="F38" i="13"/>
  <c r="E38" i="13" s="1"/>
  <c r="F18" i="13"/>
  <c r="A18" i="13"/>
  <c r="W18" i="12"/>
  <c r="A18" i="12"/>
  <c r="V18" i="12" s="1"/>
  <c r="F42" i="13" l="1"/>
  <c r="E42" i="13" s="1"/>
  <c r="P43" i="12"/>
  <c r="P44" i="12" s="1"/>
  <c r="F44" i="13" s="1"/>
  <c r="E44" i="13" s="1"/>
  <c r="F39" i="13"/>
  <c r="E39" i="13" s="1"/>
  <c r="P40" i="12"/>
  <c r="F40" i="13" s="1"/>
  <c r="E40" i="13" s="1"/>
  <c r="H18" i="12"/>
  <c r="I18" i="12"/>
  <c r="E18" i="13"/>
  <c r="B18" i="12"/>
  <c r="J50" i="18" l="1"/>
  <c r="J49" i="18"/>
  <c r="J48" i="18"/>
  <c r="J47" i="18"/>
  <c r="A45" i="18"/>
  <c r="A46" i="18" s="1"/>
  <c r="C44" i="18"/>
  <c r="A39" i="18"/>
  <c r="A40" i="18" s="1"/>
  <c r="C38" i="18"/>
  <c r="I35" i="18"/>
  <c r="M32" i="18"/>
  <c r="I29" i="18"/>
  <c r="A28" i="18"/>
  <c r="A29" i="18" s="1"/>
  <c r="A32" i="18" s="1"/>
  <c r="O27" i="18"/>
  <c r="C27" i="18"/>
  <c r="N24" i="18"/>
  <c r="N26" i="18" s="1"/>
  <c r="M22" i="18"/>
  <c r="I22" i="18"/>
  <c r="A22" i="18"/>
  <c r="A23" i="18" s="1"/>
  <c r="M21" i="18"/>
  <c r="I21" i="18"/>
  <c r="C21" i="18"/>
  <c r="M20" i="18"/>
  <c r="I20" i="18"/>
  <c r="M19" i="18"/>
  <c r="I19" i="18"/>
  <c r="M18" i="18"/>
  <c r="I18" i="18"/>
  <c r="C15" i="18"/>
  <c r="A15" i="18"/>
  <c r="A17" i="18" s="1"/>
  <c r="C14" i="18"/>
  <c r="C13" i="18"/>
  <c r="C12" i="18"/>
  <c r="Q11" i="18"/>
  <c r="I37" i="18" s="1"/>
  <c r="C11" i="18"/>
  <c r="C10" i="18"/>
  <c r="C9" i="18"/>
  <c r="I8" i="18"/>
  <c r="C8" i="18"/>
  <c r="K5" i="18"/>
  <c r="I5" i="18"/>
  <c r="A3" i="18"/>
  <c r="A4" i="18" s="1"/>
  <c r="A5" i="18" s="1"/>
  <c r="C2" i="18"/>
  <c r="N1" i="18"/>
  <c r="C39" i="18" l="1"/>
  <c r="C3" i="18"/>
  <c r="C28" i="18"/>
  <c r="C22" i="18"/>
  <c r="A41" i="18"/>
  <c r="C40" i="18"/>
  <c r="C23" i="18"/>
  <c r="A24" i="18"/>
  <c r="C5" i="18"/>
  <c r="A6" i="18"/>
  <c r="C17" i="18"/>
  <c r="A18" i="18"/>
  <c r="A33" i="18"/>
  <c r="C32" i="18"/>
  <c r="C46" i="18"/>
  <c r="A47" i="18"/>
  <c r="C4" i="18"/>
  <c r="N25" i="18"/>
  <c r="C29" i="18"/>
  <c r="L32" i="18"/>
  <c r="M33" i="18"/>
  <c r="C45" i="18"/>
  <c r="C33" i="18" l="1"/>
  <c r="A34" i="18"/>
  <c r="C34" i="18" s="1"/>
  <c r="N27" i="18"/>
  <c r="O25" i="18"/>
  <c r="A48" i="18"/>
  <c r="C47" i="18"/>
  <c r="A19" i="18"/>
  <c r="C18" i="18"/>
  <c r="A42" i="18"/>
  <c r="C41" i="18"/>
  <c r="A25" i="18"/>
  <c r="C24" i="18"/>
  <c r="P20" i="18"/>
  <c r="C6" i="18"/>
  <c r="A7" i="18"/>
  <c r="C7" i="18" s="1"/>
  <c r="Q18" i="18" s="1"/>
  <c r="R21" i="18"/>
  <c r="Q19" i="18" l="1"/>
  <c r="Q22" i="18"/>
  <c r="R26" i="18"/>
  <c r="R18" i="18"/>
  <c r="Q26" i="18"/>
  <c r="P26" i="18"/>
  <c r="A49" i="18"/>
  <c r="C49" i="18" s="1"/>
  <c r="C48" i="18"/>
  <c r="R19" i="18"/>
  <c r="R22" i="18"/>
  <c r="Q21" i="18"/>
  <c r="P19" i="18"/>
  <c r="Q20" i="18"/>
  <c r="P22" i="18"/>
  <c r="A26" i="18"/>
  <c r="C26" i="18" s="1"/>
  <c r="C25" i="18"/>
  <c r="P21" i="18"/>
  <c r="A20" i="18"/>
  <c r="C20" i="18" s="1"/>
  <c r="C19" i="18"/>
  <c r="R20" i="18"/>
  <c r="P18" i="18"/>
  <c r="C42" i="18"/>
  <c r="A43" i="18"/>
  <c r="C43" i="18" s="1"/>
  <c r="O26" i="18" l="1"/>
  <c r="V27" i="18" s="1"/>
  <c r="T16" i="18" s="1"/>
  <c r="A43" i="13"/>
  <c r="W43" i="12"/>
  <c r="A43" i="12"/>
  <c r="F16" i="13"/>
  <c r="A16" i="13"/>
  <c r="F15" i="13"/>
  <c r="A15" i="13"/>
  <c r="W16" i="12"/>
  <c r="A16" i="12"/>
  <c r="V16" i="12" s="1"/>
  <c r="W15" i="12"/>
  <c r="A15" i="12"/>
  <c r="V15" i="12" s="1"/>
  <c r="F19" i="13"/>
  <c r="A19" i="13"/>
  <c r="X19" i="12"/>
  <c r="W19" i="12"/>
  <c r="A19" i="12"/>
  <c r="C19" i="13" s="1"/>
  <c r="D19" i="13" l="1"/>
  <c r="F43" i="13"/>
  <c r="E43" i="13" s="1"/>
  <c r="H43" i="12"/>
  <c r="V43" i="12"/>
  <c r="I43" i="12"/>
  <c r="B43" i="12"/>
  <c r="I15" i="12"/>
  <c r="I16" i="12"/>
  <c r="E15" i="13"/>
  <c r="B15" i="12"/>
  <c r="B16" i="12"/>
  <c r="E16" i="13"/>
  <c r="H15" i="12"/>
  <c r="H16" i="12"/>
  <c r="E19" i="13"/>
  <c r="F17" i="13" l="1"/>
  <c r="A17" i="13"/>
  <c r="W17" i="12"/>
  <c r="A17" i="12"/>
  <c r="H17" i="12" l="1"/>
  <c r="V17" i="12"/>
  <c r="I17" i="12"/>
  <c r="E17" i="13"/>
  <c r="B17" i="12"/>
  <c r="F45" i="13" l="1"/>
  <c r="A45" i="13"/>
  <c r="F27" i="13"/>
  <c r="A27" i="13"/>
  <c r="F37" i="13"/>
  <c r="A37" i="13"/>
  <c r="X45" i="12"/>
  <c r="D45" i="13" s="1"/>
  <c r="W45" i="12"/>
  <c r="A45" i="12"/>
  <c r="X27" i="12"/>
  <c r="W27" i="12"/>
  <c r="A27" i="12"/>
  <c r="X37" i="12"/>
  <c r="W37" i="12"/>
  <c r="A37" i="12"/>
  <c r="C37" i="13" l="1"/>
  <c r="C27" i="13"/>
  <c r="C45" i="13"/>
  <c r="D37" i="13"/>
  <c r="D27" i="13"/>
  <c r="E27" i="13"/>
  <c r="E37" i="13"/>
  <c r="E45" i="13"/>
  <c r="F11" i="13" l="1"/>
  <c r="F13" i="13"/>
  <c r="E7" i="13" l="1"/>
  <c r="P9" i="12"/>
  <c r="F10" i="13"/>
  <c r="G10" i="13" s="1"/>
  <c r="H10" i="13" s="1"/>
  <c r="I10" i="13" s="1"/>
  <c r="J10" i="13" s="1"/>
  <c r="K10" i="13" s="1"/>
  <c r="L10" i="13" s="1"/>
  <c r="M10" i="13" s="1"/>
  <c r="N10" i="13" s="1"/>
  <c r="O10" i="13" s="1"/>
  <c r="U10" i="13"/>
  <c r="AC9" i="11"/>
  <c r="AC10" i="11" s="1"/>
  <c r="K57" i="12"/>
  <c r="X13" i="12"/>
  <c r="W13" i="12"/>
  <c r="N24" i="17"/>
  <c r="N26" i="17" s="1"/>
  <c r="Q224" i="16"/>
  <c r="Q223" i="16"/>
  <c r="P2" i="11"/>
  <c r="A20" i="11"/>
  <c r="A23" i="11" s="1"/>
  <c r="Q10" i="12"/>
  <c r="Q11" i="17"/>
  <c r="M33" i="17" s="1"/>
  <c r="N8" i="11"/>
  <c r="O9" i="11"/>
  <c r="P9" i="11" s="1"/>
  <c r="O10" i="11"/>
  <c r="A13" i="11"/>
  <c r="K13" i="11" s="1"/>
  <c r="N11" i="11" s="1"/>
  <c r="D17" i="11"/>
  <c r="L35" i="11"/>
  <c r="K63" i="12"/>
  <c r="A11" i="13"/>
  <c r="E11" i="13" s="1"/>
  <c r="X11" i="12"/>
  <c r="J12" i="12"/>
  <c r="A12" i="13" s="1"/>
  <c r="N12" i="12"/>
  <c r="U12" i="12" s="1"/>
  <c r="A13" i="13"/>
  <c r="E13" i="13" s="1"/>
  <c r="K60"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X38" i="16"/>
  <c r="U38" i="16"/>
  <c r="W38" i="16"/>
  <c r="V38" i="16"/>
  <c r="A17" i="17" l="1"/>
  <c r="C17" i="17" s="1"/>
  <c r="O11" i="12"/>
  <c r="D11" i="13" s="1"/>
  <c r="I50" i="17"/>
  <c r="I50" i="18"/>
  <c r="I49" i="17"/>
  <c r="I49" i="18"/>
  <c r="B51" i="13"/>
  <c r="I42" i="18"/>
  <c r="B54" i="13"/>
  <c r="O42" i="18"/>
  <c r="A46" i="17"/>
  <c r="A29" i="17"/>
  <c r="A32" i="17" s="1"/>
  <c r="A40" i="17"/>
  <c r="A41" i="17" s="1"/>
  <c r="G57" i="16"/>
  <c r="A26" i="11"/>
  <c r="N25" i="17"/>
  <c r="O25" i="17" s="1"/>
  <c r="I37" i="17"/>
  <c r="L32" i="17"/>
  <c r="A18" i="17"/>
  <c r="A4" i="17"/>
  <c r="A23" i="17"/>
  <c r="D11" i="12"/>
  <c r="V11" i="12"/>
  <c r="F11" i="12"/>
  <c r="H11" i="12"/>
  <c r="E11" i="12"/>
  <c r="C11" i="12"/>
  <c r="B11" i="12"/>
  <c r="C13" i="12"/>
  <c r="C14" i="12" s="1"/>
  <c r="V13" i="12"/>
  <c r="F13" i="12"/>
  <c r="L38"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V19" i="12" l="1"/>
  <c r="C15" i="12"/>
  <c r="C46" i="17"/>
  <c r="A47" i="17"/>
  <c r="G14" i="12"/>
  <c r="C40" i="17"/>
  <c r="A29" i="11"/>
  <c r="A32" i="11" s="1"/>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30" i="12" l="1"/>
  <c r="Z44" i="12"/>
  <c r="Z47" i="12"/>
  <c r="Z48" i="12"/>
  <c r="Z46" i="12"/>
  <c r="Z42" i="12"/>
  <c r="Z41" i="12"/>
  <c r="Z40" i="12"/>
  <c r="Z39" i="12"/>
  <c r="Z38" i="12"/>
  <c r="Z36" i="12"/>
  <c r="Z35" i="12"/>
  <c r="Z34" i="12"/>
  <c r="Z33" i="12"/>
  <c r="Z32" i="12"/>
  <c r="Z31" i="12"/>
  <c r="Z29" i="12"/>
  <c r="Z28" i="12"/>
  <c r="Z23" i="12"/>
  <c r="Z22" i="12"/>
  <c r="Z21" i="12"/>
  <c r="Z26" i="12"/>
  <c r="Z25" i="12"/>
  <c r="Z24" i="12"/>
  <c r="Z20" i="12"/>
  <c r="K14" i="12"/>
  <c r="B14" i="13" s="1"/>
  <c r="Z14" i="12"/>
  <c r="F14" i="12"/>
  <c r="E14" i="12"/>
  <c r="D14" i="12"/>
  <c r="Z18" i="12"/>
  <c r="Z43" i="12"/>
  <c r="Z16" i="12"/>
  <c r="Z15" i="12"/>
  <c r="C16" i="12"/>
  <c r="G15" i="12"/>
  <c r="Z19" i="12"/>
  <c r="S19" i="12" s="1"/>
  <c r="Z17" i="12"/>
  <c r="Z45" i="12"/>
  <c r="S45" i="12" s="1"/>
  <c r="Z27" i="12"/>
  <c r="S27" i="12" s="1"/>
  <c r="Z37" i="12"/>
  <c r="S37" i="12" s="1"/>
  <c r="A48" i="17"/>
  <c r="C47" i="17"/>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D15" i="12" l="1"/>
  <c r="E15" i="12"/>
  <c r="F15" i="12"/>
  <c r="E19" i="12"/>
  <c r="E20" i="12" s="1"/>
  <c r="F19" i="12"/>
  <c r="F20" i="12" s="1"/>
  <c r="D19" i="12"/>
  <c r="D20" i="12" s="1"/>
  <c r="K15" i="12"/>
  <c r="B15" i="13" s="1"/>
  <c r="C17" i="12"/>
  <c r="G19" i="12"/>
  <c r="G37" i="12"/>
  <c r="A49" i="17"/>
  <c r="C49" i="17" s="1"/>
  <c r="C48" i="17"/>
  <c r="C25" i="17"/>
  <c r="A26" i="17"/>
  <c r="C26" i="17" s="1"/>
  <c r="C6" i="17"/>
  <c r="A7" i="17"/>
  <c r="C7" i="17" s="1"/>
  <c r="Q20" i="17" s="1"/>
  <c r="F16" i="12" l="1"/>
  <c r="E16" i="12"/>
  <c r="G16" i="12"/>
  <c r="D16" i="12"/>
  <c r="C18" i="12"/>
  <c r="G38" i="12"/>
  <c r="G39" i="12" s="1"/>
  <c r="G40" i="12" s="1"/>
  <c r="P18" i="17"/>
  <c r="R26" i="17"/>
  <c r="P22" i="17"/>
  <c r="P19" i="17"/>
  <c r="P21" i="17"/>
  <c r="R22" i="17"/>
  <c r="Q26" i="17"/>
  <c r="Q22" i="17"/>
  <c r="R19" i="17"/>
  <c r="P26" i="17"/>
  <c r="O26" i="17" s="1"/>
  <c r="O27" i="17" s="1"/>
  <c r="R21" i="17"/>
  <c r="R18" i="17"/>
  <c r="Q18" i="17"/>
  <c r="P20" i="17"/>
  <c r="R20" i="17"/>
  <c r="Q21" i="17"/>
  <c r="Q19" i="17"/>
  <c r="G41" i="12" l="1"/>
  <c r="G42" i="12" s="1"/>
  <c r="D21" i="12"/>
  <c r="D22" i="12" s="1"/>
  <c r="D23" i="12" s="1"/>
  <c r="F21" i="12"/>
  <c r="F22" i="12" s="1"/>
  <c r="F23" i="12" s="1"/>
  <c r="E21" i="12"/>
  <c r="E22" i="12" s="1"/>
  <c r="E23" i="12" s="1"/>
  <c r="D17" i="12"/>
  <c r="E17" i="12"/>
  <c r="F17" i="12"/>
  <c r="G17" i="12"/>
  <c r="K16" i="12"/>
  <c r="B16" i="13" s="1"/>
  <c r="G20" i="12"/>
  <c r="C19" i="12"/>
  <c r="D37" i="12"/>
  <c r="F37" i="12"/>
  <c r="E37" i="12"/>
  <c r="V27" i="17"/>
  <c r="T16" i="17" s="1"/>
  <c r="F18" i="12" l="1"/>
  <c r="E18" i="12"/>
  <c r="D18" i="12"/>
  <c r="G18" i="12"/>
  <c r="K17" i="12"/>
  <c r="B17" i="13" s="1"/>
  <c r="K19" i="12"/>
  <c r="B19" i="13" s="1"/>
  <c r="E38" i="12"/>
  <c r="E39" i="12" s="1"/>
  <c r="E40" i="12" s="1"/>
  <c r="F38" i="12"/>
  <c r="F39" i="12" s="1"/>
  <c r="F40" i="12" s="1"/>
  <c r="D38" i="12"/>
  <c r="D39" i="12" s="1"/>
  <c r="D40" i="12" s="1"/>
  <c r="E41" i="12" l="1"/>
  <c r="E42" i="12" s="1"/>
  <c r="F41" i="12"/>
  <c r="F42" i="12" s="1"/>
  <c r="D41" i="12"/>
  <c r="D42" i="12" s="1"/>
  <c r="G21" i="12"/>
  <c r="G22" i="12" s="1"/>
  <c r="G23" i="12" s="1"/>
  <c r="C20" i="12"/>
  <c r="K20" i="12" s="1"/>
  <c r="B20" i="13" s="1"/>
  <c r="K18" i="12"/>
  <c r="B18" i="13" s="1"/>
  <c r="G43" i="12"/>
  <c r="G44" i="12" s="1"/>
  <c r="G27" i="12"/>
  <c r="G45" i="12" l="1"/>
  <c r="D43" i="12" l="1"/>
  <c r="D44" i="12" s="1"/>
  <c r="F43" i="12"/>
  <c r="F44" i="12" s="1"/>
  <c r="E43" i="12"/>
  <c r="E44" i="12" s="1"/>
  <c r="F27" i="12"/>
  <c r="D27" i="12"/>
  <c r="E27" i="12"/>
  <c r="G46" i="12" l="1"/>
  <c r="D45" i="12"/>
  <c r="E45" i="12"/>
  <c r="F45" i="12"/>
  <c r="G47" i="12" l="1"/>
  <c r="G48" i="12" s="1"/>
  <c r="E24" i="12"/>
  <c r="F24" i="12"/>
  <c r="D24" i="12"/>
  <c r="F46" i="12" l="1"/>
  <c r="D46" i="12"/>
  <c r="E46" i="12"/>
  <c r="C21" i="12"/>
  <c r="D25" i="12"/>
  <c r="D26" i="12" s="1"/>
  <c r="F25" i="12"/>
  <c r="F26" i="12" s="1"/>
  <c r="E25" i="12"/>
  <c r="E26" i="12" s="1"/>
  <c r="E47" i="12" l="1"/>
  <c r="E48" i="12" s="1"/>
  <c r="D47" i="12"/>
  <c r="D48" i="12" s="1"/>
  <c r="F47" i="12"/>
  <c r="F48" i="12" s="1"/>
  <c r="K21" i="12"/>
  <c r="B21" i="13" s="1"/>
  <c r="C22" i="12"/>
  <c r="G24" i="12"/>
  <c r="K22" i="12" l="1"/>
  <c r="B22" i="13" s="1"/>
  <c r="C23" i="12"/>
  <c r="G25" i="12"/>
  <c r="G26" i="12" s="1"/>
  <c r="K23" i="12" l="1"/>
  <c r="B23" i="13" s="1"/>
  <c r="I13" i="12" l="1"/>
  <c r="V27" i="12" l="1"/>
  <c r="C24" i="12" l="1"/>
  <c r="C23" i="11"/>
  <c r="F23" i="11" s="1"/>
  <c r="M21" i="11"/>
  <c r="L21" i="11"/>
  <c r="V37" i="12"/>
  <c r="C25" i="12" l="1"/>
  <c r="K24" i="12"/>
  <c r="B24" i="13" s="1"/>
  <c r="G23" i="11"/>
  <c r="B20" i="11"/>
  <c r="AC18" i="11" s="1"/>
  <c r="AC19" i="11" s="1"/>
  <c r="E23" i="11"/>
  <c r="J20" i="11" s="1"/>
  <c r="H23" i="11"/>
  <c r="M24" i="11"/>
  <c r="C26" i="11"/>
  <c r="B23" i="11" s="1"/>
  <c r="P22" i="11" s="1"/>
  <c r="Q22" i="11" s="1"/>
  <c r="K25" i="12" l="1"/>
  <c r="B25" i="13" s="1"/>
  <c r="C26" i="12"/>
  <c r="K26" i="12" s="1"/>
  <c r="B26" i="13" s="1"/>
  <c r="C29" i="11"/>
  <c r="F29" i="11" s="1"/>
  <c r="P19" i="11"/>
  <c r="Q19" i="11" s="1"/>
  <c r="R19" i="11" s="1"/>
  <c r="F26" i="11"/>
  <c r="E26" i="11"/>
  <c r="J23" i="11" s="1"/>
  <c r="M27" i="11"/>
  <c r="AC21" i="11"/>
  <c r="AC22" i="11" s="1"/>
  <c r="H26" i="11"/>
  <c r="G26" i="11"/>
  <c r="R22" i="11"/>
  <c r="C27" i="12" l="1"/>
  <c r="G29" i="11"/>
  <c r="B26" i="11"/>
  <c r="V24" i="11" s="1"/>
  <c r="H29" i="11"/>
  <c r="V45" i="12"/>
  <c r="E29" i="11"/>
  <c r="J26" i="11" s="1"/>
  <c r="S22" i="11"/>
  <c r="S19" i="11"/>
  <c r="I19" i="12" l="1"/>
  <c r="C28" i="12"/>
  <c r="C29" i="12" s="1"/>
  <c r="K27" i="12"/>
  <c r="C32" i="11"/>
  <c r="H32" i="11" s="1"/>
  <c r="M30" i="11"/>
  <c r="W24" i="11"/>
  <c r="U24" i="11"/>
  <c r="AC24" i="11"/>
  <c r="AC25" i="11" s="1"/>
  <c r="P25" i="11"/>
  <c r="Q25" i="11" s="1"/>
  <c r="R25" i="11" s="1"/>
  <c r="S25" i="11" s="1"/>
  <c r="T22" i="11"/>
  <c r="T19" i="11"/>
  <c r="B27" i="13" l="1"/>
  <c r="L24" i="11"/>
  <c r="G32" i="11"/>
  <c r="F32" i="11"/>
  <c r="B29" i="11"/>
  <c r="E32" i="11"/>
  <c r="J29" i="11" s="1"/>
  <c r="B32" i="11"/>
  <c r="AC30" i="11" s="1"/>
  <c r="AC31" i="11" s="1"/>
  <c r="U22" i="11"/>
  <c r="T25" i="11"/>
  <c r="U19" i="11"/>
  <c r="C30" i="12" l="1"/>
  <c r="P31" i="11"/>
  <c r="Q31" i="11" s="1"/>
  <c r="R31" i="11" s="1"/>
  <c r="U25" i="11"/>
  <c r="V22" i="11"/>
  <c r="V19" i="11"/>
  <c r="C31" i="12" l="1"/>
  <c r="S31" i="11"/>
  <c r="V25" i="11"/>
  <c r="W22" i="11"/>
  <c r="W19" i="11"/>
  <c r="C32" i="12" l="1"/>
  <c r="I32" i="11"/>
  <c r="J32" i="11"/>
  <c r="I26" i="11"/>
  <c r="D26" i="11" s="1"/>
  <c r="I29" i="11"/>
  <c r="D29" i="11" s="1"/>
  <c r="I20" i="11"/>
  <c r="D20" i="11" s="1"/>
  <c r="I23" i="11"/>
  <c r="D23" i="11" s="1"/>
  <c r="T31" i="11"/>
  <c r="W25" i="11"/>
  <c r="D32" i="11" l="1"/>
  <c r="U31" i="11"/>
  <c r="C33" i="12" l="1"/>
  <c r="V31" i="11"/>
  <c r="C34" i="12" l="1"/>
  <c r="W31" i="11"/>
  <c r="C35" i="12" l="1"/>
  <c r="C36" i="12" l="1"/>
  <c r="AC27" i="11"/>
  <c r="AC28" i="11" s="1"/>
  <c r="P28" i="11"/>
  <c r="Q28" i="11" l="1"/>
  <c r="R28" i="11" l="1"/>
  <c r="C37" i="12" l="1"/>
  <c r="I27" i="12" s="1"/>
  <c r="S28" i="11"/>
  <c r="C38" i="12" l="1"/>
  <c r="K37" i="12"/>
  <c r="T28" i="11"/>
  <c r="K38" i="12" l="1"/>
  <c r="B38" i="13" s="1"/>
  <c r="C39" i="12"/>
  <c r="L27" i="11"/>
  <c r="B37" i="13"/>
  <c r="U28" i="11"/>
  <c r="C40" i="12" l="1"/>
  <c r="K39" i="12"/>
  <c r="B39" i="13" s="1"/>
  <c r="V28" i="11"/>
  <c r="K40" i="12" l="1"/>
  <c r="B40" i="13" s="1"/>
  <c r="W28" i="11"/>
  <c r="C41" i="12" l="1"/>
  <c r="D28" i="12"/>
  <c r="D29" i="12" s="1"/>
  <c r="G28" i="12"/>
  <c r="F28" i="12"/>
  <c r="F29" i="12" s="1"/>
  <c r="E28" i="12"/>
  <c r="E29" i="12" s="1"/>
  <c r="C42" i="12" l="1"/>
  <c r="K41" i="12"/>
  <c r="B41" i="13" s="1"/>
  <c r="K28" i="12"/>
  <c r="B28" i="13" s="1"/>
  <c r="G29" i="12"/>
  <c r="E30" i="12"/>
  <c r="F30" i="12"/>
  <c r="D30" i="12"/>
  <c r="K42" i="12" l="1"/>
  <c r="B42" i="13" s="1"/>
  <c r="E31" i="12"/>
  <c r="F31" i="12"/>
  <c r="K29" i="12"/>
  <c r="B29" i="13" s="1"/>
  <c r="D31" i="12"/>
  <c r="F32" i="12" l="1"/>
  <c r="E32" i="12"/>
  <c r="D32" i="12" l="1"/>
  <c r="G30" i="12"/>
  <c r="K30" i="12" s="1"/>
  <c r="B30" i="13" s="1"/>
  <c r="F33" i="12" l="1"/>
  <c r="E33" i="12"/>
  <c r="G31" i="12"/>
  <c r="K31" i="12" s="1"/>
  <c r="B31" i="13" s="1"/>
  <c r="E34" i="12" l="1"/>
  <c r="F34" i="12"/>
  <c r="D33" i="12"/>
  <c r="G32" i="12"/>
  <c r="C43" i="12" l="1"/>
  <c r="D34" i="12"/>
  <c r="K32" i="12"/>
  <c r="B32" i="13" s="1"/>
  <c r="C44" i="12" l="1"/>
  <c r="K44" i="12" s="1"/>
  <c r="B44" i="13" s="1"/>
  <c r="K43" i="12"/>
  <c r="B43" i="13" s="1"/>
  <c r="E35" i="12"/>
  <c r="E36" i="12" s="1"/>
  <c r="F35" i="12"/>
  <c r="F36" i="12" s="1"/>
  <c r="G33" i="12"/>
  <c r="K33" i="12" s="1"/>
  <c r="B33" i="13" s="1"/>
  <c r="C45" i="12" l="1"/>
  <c r="D35" i="12"/>
  <c r="D36" i="12" s="1"/>
  <c r="G34" i="12"/>
  <c r="I37" i="12" l="1"/>
  <c r="C46" i="12"/>
  <c r="K45" i="12"/>
  <c r="K34" i="12"/>
  <c r="B34" i="13" s="1"/>
  <c r="C47" i="12" l="1"/>
  <c r="K47" i="12" s="1"/>
  <c r="B47" i="13" s="1"/>
  <c r="K46" i="12"/>
  <c r="B46" i="13" s="1"/>
  <c r="B45" i="13"/>
  <c r="L30" i="11"/>
  <c r="G35" i="12"/>
  <c r="D16" i="13"/>
  <c r="D15" i="13"/>
  <c r="D18" i="13"/>
  <c r="D17" i="13"/>
  <c r="D43" i="13"/>
  <c r="C48" i="12" l="1"/>
  <c r="G36" i="12"/>
  <c r="K35" i="12"/>
  <c r="B35" i="13" s="1"/>
  <c r="C43" i="13"/>
  <c r="K48" i="12" l="1"/>
  <c r="B48" i="13" s="1"/>
  <c r="H13" i="12"/>
  <c r="B13" i="12" s="1"/>
  <c r="H19" i="12"/>
  <c r="B19" i="12" s="1"/>
  <c r="K36" i="12"/>
  <c r="B36" i="13" s="1"/>
  <c r="H45" i="12" l="1"/>
  <c r="I45" i="12"/>
  <c r="H37" i="12"/>
  <c r="B37" i="12" s="1"/>
  <c r="H27" i="12"/>
  <c r="B27" i="12" s="1"/>
  <c r="S20" i="12"/>
  <c r="T20" i="12" s="1"/>
  <c r="C20" i="13"/>
  <c r="D20" i="13"/>
  <c r="D14" i="13"/>
  <c r="B45" i="12" l="1"/>
  <c r="B12" i="12" s="1"/>
  <c r="S36" i="12"/>
  <c r="C36" i="13"/>
  <c r="D36" i="13"/>
  <c r="S35" i="12"/>
  <c r="T35" i="12" s="1"/>
  <c r="C35" i="13"/>
  <c r="D35" i="13"/>
  <c r="S34" i="12"/>
  <c r="T34" i="12" s="1"/>
  <c r="C34" i="13"/>
  <c r="D34" i="13"/>
  <c r="S33" i="12"/>
  <c r="T33" i="12" s="1"/>
  <c r="C33" i="13"/>
  <c r="D33" i="13"/>
  <c r="S32" i="12"/>
  <c r="T32" i="12" s="1"/>
  <c r="D32" i="13"/>
  <c r="C32" i="13"/>
  <c r="S31" i="12"/>
  <c r="T31" i="12" s="1"/>
  <c r="C31" i="13"/>
  <c r="D31" i="13"/>
  <c r="S29" i="12"/>
  <c r="T29" i="12" s="1"/>
  <c r="C29" i="13"/>
  <c r="D29" i="13"/>
  <c r="S28" i="12"/>
  <c r="T28" i="12" s="1"/>
  <c r="C28" i="13"/>
  <c r="D28" i="13"/>
  <c r="S23" i="12"/>
  <c r="T23" i="12" s="1"/>
  <c r="C23" i="13"/>
  <c r="D23" i="13"/>
  <c r="S22" i="12"/>
  <c r="T22" i="12" s="1"/>
  <c r="D22" i="13"/>
  <c r="C22" i="13"/>
  <c r="S21" i="12"/>
  <c r="T21" i="12" s="1"/>
  <c r="C21" i="13"/>
  <c r="D21" i="13"/>
  <c r="S26" i="12"/>
  <c r="T26" i="12" s="1"/>
  <c r="C26" i="13"/>
  <c r="D26" i="13"/>
  <c r="S25" i="12"/>
  <c r="T25" i="12" s="1"/>
  <c r="C25" i="13"/>
  <c r="D25" i="13"/>
  <c r="S24" i="12"/>
  <c r="T24" i="12" s="1"/>
  <c r="C24" i="13"/>
  <c r="D24" i="13"/>
  <c r="T19" i="12" l="1"/>
  <c r="U19" i="12" l="1"/>
  <c r="K23" i="11"/>
  <c r="N21" i="11" s="1"/>
  <c r="T23" i="11" l="1"/>
  <c r="U23" i="11"/>
  <c r="Q23" i="11"/>
  <c r="P23" i="11"/>
  <c r="V23" i="11"/>
  <c r="AC23" i="11"/>
  <c r="W23" i="11"/>
  <c r="S23" i="11"/>
  <c r="R23" i="11"/>
  <c r="F36" i="13" l="1"/>
  <c r="E36" i="13" s="1"/>
  <c r="T36" i="12"/>
  <c r="S44" i="12" l="1"/>
  <c r="T44" i="12" s="1"/>
  <c r="C44" i="13"/>
  <c r="D44" i="13"/>
  <c r="S46" i="12"/>
  <c r="T46" i="12" s="1"/>
  <c r="C46" i="13"/>
  <c r="D46" i="13"/>
  <c r="S47" i="12"/>
  <c r="T47" i="12" s="1"/>
  <c r="C47" i="13"/>
  <c r="D47" i="13"/>
  <c r="C48" i="13"/>
  <c r="D48" i="13"/>
  <c r="D42" i="13"/>
  <c r="C42" i="13"/>
  <c r="D41" i="13"/>
  <c r="C41" i="13"/>
  <c r="S40" i="12"/>
  <c r="T40" i="12" s="1"/>
  <c r="C40" i="13"/>
  <c r="D40" i="13"/>
  <c r="S39" i="12"/>
  <c r="T39" i="12" s="1"/>
  <c r="C39" i="13"/>
  <c r="D39" i="13"/>
  <c r="S38" i="12"/>
  <c r="T38" i="12" s="1"/>
  <c r="C38" i="13"/>
  <c r="D38" i="13"/>
  <c r="S30" i="12" l="1"/>
  <c r="T30" i="12" s="1"/>
  <c r="C30" i="13"/>
  <c r="D30" i="13"/>
  <c r="T27" i="12" l="1"/>
  <c r="U27" i="12" l="1"/>
  <c r="K26" i="11"/>
  <c r="N24" i="11" s="1"/>
  <c r="U26" i="11" l="1"/>
  <c r="AC26" i="11"/>
  <c r="W26" i="11"/>
  <c r="V26" i="11"/>
  <c r="Q26" i="11"/>
  <c r="S26" i="11"/>
  <c r="T26" i="11"/>
  <c r="P26" i="11"/>
  <c r="R26" i="11"/>
  <c r="X43" i="12"/>
  <c r="X22" i="12"/>
  <c r="X28" i="12"/>
  <c r="X41" i="12"/>
  <c r="X38" i="12"/>
  <c r="X35" i="12"/>
  <c r="X24" i="12"/>
  <c r="X14" i="12"/>
  <c r="X39" i="12"/>
  <c r="X44" i="12"/>
  <c r="X18" i="12"/>
  <c r="X30" i="12"/>
  <c r="X29" i="12"/>
  <c r="X15" i="12"/>
  <c r="X25" i="12"/>
  <c r="X34" i="12"/>
  <c r="X42" i="12"/>
  <c r="X20" i="12"/>
  <c r="X21" i="12"/>
  <c r="X36" i="12"/>
  <c r="X40" i="12"/>
  <c r="X46" i="12"/>
  <c r="X26" i="12"/>
  <c r="X17" i="12"/>
  <c r="X31" i="12"/>
  <c r="X16" i="12"/>
  <c r="X32" i="12"/>
  <c r="X23" i="12"/>
  <c r="X47" i="12"/>
  <c r="X33" i="12"/>
  <c r="X48" i="12"/>
  <c r="U33" i="12" l="1"/>
  <c r="U47" i="12"/>
  <c r="U23" i="12"/>
  <c r="U32" i="12"/>
  <c r="U31" i="12"/>
  <c r="U26" i="12"/>
  <c r="U46" i="12"/>
  <c r="U40" i="12"/>
  <c r="U36" i="12"/>
  <c r="U21" i="12"/>
  <c r="U20" i="12"/>
  <c r="U34" i="12"/>
  <c r="U25" i="12"/>
  <c r="U29" i="12"/>
  <c r="U30" i="12"/>
  <c r="U44" i="12"/>
  <c r="U39" i="12"/>
  <c r="U24" i="12"/>
  <c r="U35" i="12"/>
  <c r="U38" i="12"/>
  <c r="U28" i="12"/>
  <c r="U22" i="12"/>
  <c r="S48" i="12" l="1"/>
  <c r="T48" i="12" s="1"/>
  <c r="T45" i="12" s="1"/>
  <c r="C18" i="13"/>
  <c r="C15" i="13"/>
  <c r="S42" i="12"/>
  <c r="T42" i="12" s="1"/>
  <c r="U42" i="12" s="1"/>
  <c r="C16" i="13"/>
  <c r="S41" i="12"/>
  <c r="T41" i="12" s="1"/>
  <c r="U41" i="12" s="1"/>
  <c r="S18" i="12"/>
  <c r="T18" i="12" s="1"/>
  <c r="U18" i="12" s="1"/>
  <c r="S15" i="12"/>
  <c r="T15" i="12" s="1"/>
  <c r="S16" i="12"/>
  <c r="T16" i="12" s="1"/>
  <c r="U16" i="12" s="1"/>
  <c r="S43" i="12"/>
  <c r="T43" i="12" s="1"/>
  <c r="U43" i="12" s="1"/>
  <c r="S17" i="12"/>
  <c r="T17" i="12" s="1"/>
  <c r="U17" i="12" s="1"/>
  <c r="S14" i="12"/>
  <c r="T14" i="12" s="1"/>
  <c r="U14" i="12" s="1"/>
  <c r="C17" i="13"/>
  <c r="C14" i="13"/>
  <c r="U48" i="12" l="1"/>
  <c r="K32" i="11"/>
  <c r="N30" i="11" s="1"/>
  <c r="U45" i="12"/>
  <c r="T37" i="12"/>
  <c r="U37" i="12" s="1"/>
  <c r="T13" i="12"/>
  <c r="U13" i="12" s="1"/>
  <c r="U15" i="12"/>
  <c r="T12" i="12"/>
  <c r="N14" i="11" s="1"/>
  <c r="S32" i="11" l="1"/>
  <c r="R32" i="11"/>
  <c r="W32" i="11"/>
  <c r="P32" i="11"/>
  <c r="AC32" i="11"/>
  <c r="U32" i="11"/>
  <c r="V32" i="11"/>
  <c r="T32" i="11"/>
  <c r="Q32" i="11"/>
  <c r="K29" i="11"/>
  <c r="N27" i="11" s="1"/>
  <c r="W29" i="11" s="1"/>
  <c r="K20" i="11"/>
  <c r="N18" i="11" s="1"/>
  <c r="S20" i="11" s="1"/>
  <c r="U5" i="12"/>
  <c r="V20" i="11" l="1"/>
  <c r="P20" i="11"/>
  <c r="Q29" i="11"/>
  <c r="S29" i="11"/>
  <c r="S17" i="11" s="1"/>
  <c r="R29" i="11"/>
  <c r="P29" i="11"/>
  <c r="U29" i="11"/>
  <c r="V29" i="11"/>
  <c r="T29" i="11"/>
  <c r="AC29" i="11"/>
  <c r="W20" i="11"/>
  <c r="W17" i="11" s="1"/>
  <c r="W16" i="11" s="1"/>
  <c r="U20" i="11"/>
  <c r="R20" i="11"/>
  <c r="R17" i="11" s="1"/>
  <c r="R16" i="11" s="1"/>
  <c r="T20" i="11"/>
  <c r="AC20" i="11"/>
  <c r="Q20" i="11"/>
  <c r="V17" i="11" l="1"/>
  <c r="W15" i="11" s="1"/>
  <c r="W14" i="11" s="1"/>
  <c r="P17" i="11"/>
  <c r="P16" i="11" s="1"/>
  <c r="AC17" i="11"/>
  <c r="AC16" i="11" s="1"/>
  <c r="T17" i="11"/>
  <c r="T16" i="11" s="1"/>
  <c r="U17" i="11"/>
  <c r="U16" i="11" s="1"/>
  <c r="Q17" i="11"/>
  <c r="S16" i="11"/>
  <c r="S15" i="11"/>
  <c r="S14" i="11" s="1"/>
  <c r="Q15" i="11" l="1"/>
  <c r="Q14" i="11" s="1"/>
  <c r="V16" i="11"/>
  <c r="R15" i="11"/>
  <c r="R14" i="11" s="1"/>
  <c r="Q16" i="11"/>
  <c r="AC15" i="11"/>
  <c r="AC14" i="11" s="1"/>
  <c r="P15" i="11"/>
  <c r="P14" i="11" s="1"/>
  <c r="V15" i="11"/>
  <c r="V14" i="11" s="1"/>
  <c r="T15" i="11"/>
  <c r="T14" i="11" s="1"/>
  <c r="U15" i="11"/>
  <c r="U14" i="11" s="1"/>
  <c r="L8" i="11"/>
</calcChain>
</file>

<file path=xl/sharedStrings.xml><?xml version="1.0" encoding="utf-8"?>
<sst xmlns="http://schemas.openxmlformats.org/spreadsheetml/2006/main" count="699" uniqueCount="307">
  <si>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</si>
  <si>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</si>
  <si>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</si>
  <si>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</si>
  <si>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</si>
  <si>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</si>
  <si>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</si>
  <si>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</si>
  <si>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</si>
  <si>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</si>
  <si>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</si>
  <si>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</si>
  <si>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</si>
  <si>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</si>
  <si>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</si>
  <si>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</si>
  <si>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</si>
  <si>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</si>
  <si>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</si>
  <si>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</si>
  <si>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</si>
  <si>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</si>
  <si>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</si>
  <si>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</si>
  <si>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</si>
  <si>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</si>
  <si>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</si>
  <si>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</si>
  <si>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</si>
  <si>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</si>
  <si>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</si>
  <si>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</si>
  <si>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</si>
  <si>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</si>
  <si>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</si>
  <si>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</si>
  <si>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</si>
  <si>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</si>
  <si>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</si>
  <si>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</si>
  <si>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</si>
  <si>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</si>
  <si>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</si>
  <si>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</si>
  <si>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</si>
  <si>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</si>
  <si>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</si>
  <si>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</si>
  <si>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</si>
  <si>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</si>
  <si>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</si>
  <si>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</si>
  <si>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</si>
  <si>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</si>
  <si>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</si>
  <si>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</si>
  <si>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</si>
  <si>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</si>
  <si>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</si>
  <si>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</si>
  <si>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</si>
  <si>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</si>
  <si>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</si>
  <si>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</si>
  <si>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</si>
  <si>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</si>
  <si>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</si>
  <si>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</si>
  <si>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</si>
  <si>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</si>
  <si>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</si>
  <si>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</si>
  <si>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</si>
  <si>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</si>
  <si>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</si>
  <si>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</si>
  <si>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</si>
  <si>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</si>
  <si>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</si>
  <si>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</si>
  <si>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</si>
  <si>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</si>
  <si>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</si>
  <si>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</si>
  <si>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</si>
  <si>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</si>
  <si>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</si>
  <si>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</si>
  <si>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</si>
  <si>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</si>
  <si>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</si>
  <si>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</si>
  <si>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</si>
  <si>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</si>
  <si>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</si>
  <si>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</si>
  <si>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</si>
  <si>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</si>
  <si>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</si>
  <si>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</si>
  <si>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</si>
  <si>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</si>
  <si>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</si>
  <si>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</si>
  <si>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</si>
  <si>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</si>
  <si>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</si>
  <si>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</si>
  <si>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</si>
  <si>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</si>
  <si>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</si>
  <si>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</si>
  <si>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</si>
  <si>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</si>
  <si>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</si>
  <si>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</si>
  <si>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</si>
  <si>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</si>
  <si>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</si>
  <si>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</si>
  <si>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</si>
  <si>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</si>
  <si>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</si>
  <si>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</si>
  <si>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</si>
  <si>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</si>
  <si>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</si>
  <si>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</si>
  <si>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</si>
  <si>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</si>
  <si>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</si>
  <si>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</si>
  <si>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</si>
  <si>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</si>
  <si>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</si>
  <si>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</si>
  <si>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</si>
  <si>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</si>
  <si>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</si>
  <si>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</si>
  <si>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</si>
  <si>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</si>
  <si>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</si>
  <si>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</si>
  <si>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</si>
  <si>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</si>
  <si>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</si>
  <si>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</si>
  <si>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</si>
  <si>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</si>
  <si>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</si>
  <si>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</si>
  <si>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</si>
  <si>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</si>
  <si>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</si>
  <si>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</si>
  <si>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</si>
  <si>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</si>
  <si>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</si>
  <si>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</si>
  <si>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</si>
  <si>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</si>
  <si>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</si>
  <si>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</si>
  <si>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</si>
  <si>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</si>
  <si>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</si>
  <si>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</si>
  <si>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</si>
  <si>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</si>
  <si>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</si>
  <si>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</si>
  <si>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</si>
  <si>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</si>
  <si>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</si>
  <si>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</si>
  <si>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</si>
  <si>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</si>
  <si>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</si>
  <si>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</si>
  <si>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</si>
  <si>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</si>
  <si>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</si>
  <si>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</si>
  <si>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</si>
  <si>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</si>
  <si>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</si>
  <si>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</si>
  <si>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</si>
  <si>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</si>
  <si>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</si>
  <si>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</si>
  <si>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</si>
  <si>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</si>
  <si>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</si>
  <si>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</si>
  <si>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</si>
  <si>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</si>
  <si>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</si>
  <si>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</si>
  <si>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</si>
  <si>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</si>
  <si>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</si>
  <si>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</si>
  <si>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</si>
  <si>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</si>
  <si>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</si>
  <si>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</si>
  <si>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</si>
  <si>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</si>
  <si>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</si>
  <si>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</si>
  <si>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</si>
  <si>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</si>
  <si>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</si>
  <si>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</si>
  <si>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</si>
  <si>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</si>
  <si>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</si>
  <si>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</si>
  <si>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</si>
  <si>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</si>
  <si>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</si>
  <si>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</si>
  <si>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</si>
  <si>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</si>
  <si>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</si>
  <si>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</si>
  <si>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</si>
  <si>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</si>
  <si>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</si>
  <si>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</si>
  <si>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</si>
  <si>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</si>
  <si>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</si>
  <si>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</si>
  <si>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PM BENTO</t>
  </si>
  <si>
    <t xml:space="preserve">Encargos Sociais SEM DESONERAÇÃO:HORISTA 111,10% / MENSALISTA 69,16%.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</si>
  <si>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SICRO</t>
  </si>
  <si>
    <t>SINALIZAÇÃO E SEGURANÇA VIÁRIA</t>
  </si>
  <si>
    <t>SERVIÇOS PRELIMINARES E CANTEIRO</t>
  </si>
  <si>
    <t>90778</t>
  </si>
  <si>
    <t>77</t>
  </si>
  <si>
    <t>78</t>
  </si>
  <si>
    <t>79</t>
  </si>
  <si>
    <t>800</t>
  </si>
  <si>
    <t>14</t>
  </si>
  <si>
    <t>DRENAGEM</t>
  </si>
  <si>
    <t>PAVIMENTAÇÃO SOBRE BASE DE BRITA GRADUADA</t>
  </si>
  <si>
    <t>M3</t>
  </si>
  <si>
    <t>94</t>
  </si>
  <si>
    <t>UN</t>
  </si>
  <si>
    <t>M2</t>
  </si>
  <si>
    <t xml:space="preserve">M     </t>
  </si>
  <si>
    <t>H</t>
  </si>
  <si>
    <t>EXECUÇÃO DE PINTURA DE LIGAÇÃO COM EMULSÃO ASFÁLTICA RR-2C</t>
  </si>
  <si>
    <t>CONSTRUÇÃO DE PAVIMENTO COM APLICAÇÃO DE CONCRETO BETUMINOSO USINADO A QUENTE (CBUQ), CAMADA DE ROLAMENTO, COM ESPESSURA DE 5,0 CM</t>
  </si>
  <si>
    <t>TERRAPLENAGEM</t>
  </si>
  <si>
    <t>2003357</t>
  </si>
  <si>
    <t>103689</t>
  </si>
  <si>
    <t>5502985</t>
  </si>
  <si>
    <t>Limpeza mecanizada da camada vegetal</t>
  </si>
  <si>
    <t>m²</t>
  </si>
  <si>
    <t>m³</t>
  </si>
  <si>
    <t>4805757</t>
  </si>
  <si>
    <t>Escavação mecânica de vala em material de 1ª categoria</t>
  </si>
  <si>
    <t>Escavação e remoção de bordos contaminados</t>
  </si>
  <si>
    <t>4815671</t>
  </si>
  <si>
    <t>Reaterro e compactação com soquete vibratório</t>
  </si>
  <si>
    <t>5914389</t>
  </si>
  <si>
    <t>5501706</t>
  </si>
  <si>
    <t>Transporte com caminhão basculante de 10 m³ - rodovia pavimentada</t>
  </si>
  <si>
    <t>tkm</t>
  </si>
  <si>
    <t>Escavação mecânica em material de 1ª categoria</t>
  </si>
  <si>
    <t>5500991</t>
  </si>
  <si>
    <t>Desmonte de blocos de rocha com martelete pneumático</t>
  </si>
  <si>
    <t>4805765</t>
  </si>
  <si>
    <t>Escavação de vala em material de 3ª categoria</t>
  </si>
  <si>
    <t>2003728</t>
  </si>
  <si>
    <t>Caixa coletora de talvegue - CCT 01 - areia e brita comerciais</t>
  </si>
  <si>
    <t>un</t>
  </si>
  <si>
    <t>m</t>
  </si>
  <si>
    <t>Transposição de segmentos de sarjeta - TSS 01 - 300MM - areia e brita comerciais</t>
  </si>
  <si>
    <t>2003267</t>
  </si>
  <si>
    <t>Sarjeta triangular de concreto - STC 88-20 moldada no local com extrusora e concreto usinado - escavação mecânica - areia e brita comerciais</t>
  </si>
  <si>
    <t>2003609</t>
  </si>
  <si>
    <t>Dreno subsuperficial - DSS 03 - brita comercial</t>
  </si>
  <si>
    <t>4011209</t>
  </si>
  <si>
    <t>Regularização do subleito</t>
  </si>
  <si>
    <t>4011276</t>
  </si>
  <si>
    <t>Base ou sub-base de brita graduada com brita comercial</t>
  </si>
  <si>
    <t>5213465</t>
  </si>
  <si>
    <t>EXECUÇÃO DE IMPRIMAÇÃO COM ASFALTO DILUÍDO CM-30</t>
  </si>
  <si>
    <t>Placa de advertência em aço, lado de 0,80 m - película retrorrefletiva tipo I + SI - fornecimento e implantação</t>
  </si>
  <si>
    <t>5213413</t>
  </si>
  <si>
    <t>Pintura de faixa com plástico a frio tricomponente à base de resinas metacrílicas por aspersão - espessura de 0,6 mm</t>
  </si>
  <si>
    <t>2003823</t>
  </si>
  <si>
    <t>Tubo de concreto PA2 comercial para drenagem - D = 0,60 m - fornecimento e instalação</t>
  </si>
  <si>
    <t>DESLOCAMENTO DE POSTE</t>
  </si>
  <si>
    <t>PAVIMENTAÇÃO EM CBUQ RUA SÍLVIO BERRETTI</t>
  </si>
  <si>
    <t>TUIUTY</t>
  </si>
  <si>
    <t>801</t>
  </si>
  <si>
    <t>FORNECIMENTO E INSTALAÇÃO DE PLACA DE OBRA COM CHAPA GALVANIZADA E ESTRUTURA DE MADEIRA. AF_03/2022_PS</t>
  </si>
  <si>
    <t>SERVIÇOS TOPOGRÁFICOS PARA PAVIMENTAÇÃO</t>
  </si>
  <si>
    <t>SINALIZAÇÃO DE TRANSITO NOTURNA</t>
  </si>
  <si>
    <t>ENGENHEIRO CIVIL DE OBRA PLENO COM ENCARGOS COMPLEMENTARES</t>
  </si>
  <si>
    <t>MOBILIZAÇÃO E DESMOBILIZAÇÃO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</si>
</sst>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2">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22" fillId="0" borderId="0" xfId="72" applyFont="1" applyBorder="1" applyAlignment="1" applyProtection="1">
      <alignment horizontal="left" vertical="top"/>
    </xf>
    <xf numFmtId="4" fontId="26" fillId="0" borderId="14" xfId="71"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2" xfId="72" applyFont="1" applyBorder="1" applyAlignment="1" applyProtection="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1" fillId="0" borderId="14" xfId="71" applyFont="1" applyBorder="1" applyAlignment="1" applyProtection="1">
      <alignment horizontal="left" vertical="center" wrapTex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26" fillId="0" borderId="0" xfId="71" applyFont="1" applyBorder="1" applyAlignment="1" applyProtection="1">
      <alignment horizontal="left" vertical="center"/>
    </xf>
    <xf numFmtId="0" fontId="1" fillId="0" borderId="0" xfId="71" applyFont="1" applyBorder="1" applyAlignment="1" applyProtection="1">
      <alignment horizontal="center" vertical="center"/>
    </xf>
    <xf numFmtId="0" fontId="35" fillId="0" borderId="14" xfId="71" applyFont="1" applyBorder="1" applyAlignment="1" applyProtection="1">
      <alignment horizontal="center" vertical="center" wrapText="1"/>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49" fontId="1" fillId="0" borderId="0" xfId="71" applyNumberFormat="1" applyFont="1" applyFill="1" applyBorder="1" applyAlignment="1" applyProtection="1">
      <alignment horizontal="left"/>
      <protection locked="0"/>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294">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8.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61" name="SigiloPic">
              <a:extLst>
                <a:ext uri="{FF2B5EF4-FFF2-40B4-BE49-F238E27FC236}">
                  <a16:creationId xmlns:a16="http://schemas.microsoft.com/office/drawing/2014/main" id="{00000000-0008-0000-0100-0000D5600200}"/>
                </a:ext>
              </a:extLst>
            </xdr:cNvPr>
            <xdr:cNvPicPr>
              <a:picLocks noChangeArrowheads="1"/>
              <a:extLst>
                <a:ext uri="{84589F7E-364E-4C9E-8A38-B11213B215E9}">
                  <a14:cameraTool cellRange="PO!$T$1:$T$2" spid="_x0000_s228379"/>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814310" y="901065"/>
          <a:ext cx="1057275" cy="33909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28575" y="19050"/>
          <a:ext cx="1824990" cy="386715"/>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824990" cy="386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658570</xdr:colOff>
          <xdr:row>1</xdr:row>
          <xdr:rowOff>160804</xdr:rowOff>
        </xdr:to>
        <xdr:pic>
          <xdr:nvPicPr>
            <xdr:cNvPr id="5" name="SigiloPic">
              <a:extLst>
                <a:ext uri="{FF2B5EF4-FFF2-40B4-BE49-F238E27FC236}">
                  <a16:creationId xmlns:a16="http://schemas.microsoft.com/office/drawing/2014/main" id="{00000000-0008-0000-0100-0000D5600200}"/>
                </a:ext>
              </a:extLst>
            </xdr:cNvPr>
            <xdr:cNvPicPr>
              <a:picLocks noChangeArrowheads="1"/>
              <a:extLst>
                <a:ext uri="{84589F7E-364E-4C9E-8A38-B11213B215E9}">
                  <a14:cameraTool cellRange="PO!$T$1:$T$2" spid="_x0000_s218387"/>
                </a:ext>
              </a:extLst>
            </xdr:cNvPicPr>
          </xdr:nvPicPr>
          <xdr:blipFill>
            <a:blip xmlns:r="http://schemas.openxmlformats.org/officeDocument/2006/relationships" r:embed="rId2"/>
            <a:srcRect/>
            <a:stretch>
              <a:fillRect/>
            </a:stretch>
          </xdr:blipFill>
          <xdr:spPr bwMode="auto">
            <a:xfrm>
              <a:off x="6318885" y="28575"/>
              <a:ext cx="1075765" cy="32272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114" name="Picture 482">
              <a:extLst>
                <a:ext uri="{FF2B5EF4-FFF2-40B4-BE49-F238E27FC236}">
                  <a16:creationId xmlns:a16="http://schemas.microsoft.com/office/drawing/2014/main" id="{00000000-0008-0000-0200-0000E2050300}"/>
                </a:ext>
              </a:extLst>
            </xdr:cNvPr>
            <xdr:cNvPicPr>
              <a:picLocks noChangeArrowheads="1"/>
              <a:extLst>
                <a:ext uri="{84589F7E-364E-4C9E-8A38-B11213B215E9}">
                  <a14:cameraTool cellRange="DADOS!$A$220:$X$230" spid="_x0000_s224491"/>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59</xdr:row>
          <xdr:rowOff>0</xdr:rowOff>
        </xdr:from>
        <xdr:to>
          <xdr:col>19</xdr:col>
          <xdr:colOff>123825</xdr:colOff>
          <xdr:row>63</xdr:row>
          <xdr:rowOff>142875</xdr:rowOff>
        </xdr:to>
        <xdr:pic>
          <xdr:nvPicPr>
            <xdr:cNvPr id="198115" name="Picture 483">
              <a:extLst>
                <a:ext uri="{FF2B5EF4-FFF2-40B4-BE49-F238E27FC236}">
                  <a16:creationId xmlns:a16="http://schemas.microsoft.com/office/drawing/2014/main" id="{00000000-0008-0000-0200-0000E3050300}"/>
                </a:ext>
              </a:extLst>
            </xdr:cNvPr>
            <xdr:cNvPicPr>
              <a:picLocks noChangeArrowheads="1"/>
              <a:extLst>
                <a:ext uri="{84589F7E-364E-4C9E-8A38-B11213B215E9}">
                  <a14:cameraTool cellRange="DADOS!$A$53:$K$57" spid="_x0000_s224492"/>
                </a:ext>
              </a:extLst>
            </xdr:cNvPicPr>
          </xdr:nvPicPr>
          <xdr:blipFill>
            <a:blip xmlns:r="http://schemas.openxmlformats.org/officeDocument/2006/relationships" r:embed="rId3"/>
            <a:srcRect/>
            <a:stretch>
              <a:fillRect/>
            </a:stretch>
          </xdr:blipFill>
          <xdr:spPr bwMode="auto">
            <a:xfrm>
              <a:off x="7210425" y="308705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585" name="PIC1">
              <a:extLst>
                <a:ext uri="{FF2B5EF4-FFF2-40B4-BE49-F238E27FC236}">
                  <a16:creationId xmlns:a16="http://schemas.microsoft.com/office/drawing/2014/main" id="{00000000-0008-0000-0300-0000497F0000}"/>
                </a:ext>
              </a:extLst>
            </xdr:cNvPr>
            <xdr:cNvPicPr>
              <a:picLocks noChangeArrowheads="1"/>
              <a:extLst>
                <a:ext uri="{84589F7E-364E-4C9E-8A38-B11213B215E9}">
                  <a14:cameraTool cellRange="DADOS!$A$220:$X$230" spid="_x0000_s229465"/>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586" name="PIC2">
              <a:extLst>
                <a:ext uri="{FF2B5EF4-FFF2-40B4-BE49-F238E27FC236}">
                  <a16:creationId xmlns:a16="http://schemas.microsoft.com/office/drawing/2014/main" id="{00000000-0008-0000-0300-00004A7F0000}"/>
                </a:ext>
              </a:extLst>
            </xdr:cNvPr>
            <xdr:cNvPicPr>
              <a:picLocks noChangeArrowheads="1"/>
              <a:extLst>
                <a:ext uri="{84589F7E-364E-4C9E-8A38-B11213B215E9}">
                  <a14:cameraTool cellRange="DADOS!$A$220:$X$230" spid="_x0000_s229466"/>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50</xdr:row>
          <xdr:rowOff>9525</xdr:rowOff>
        </xdr:from>
        <xdr:to>
          <xdr:col>14</xdr:col>
          <xdr:colOff>28575</xdr:colOff>
          <xdr:row>54</xdr:row>
          <xdr:rowOff>152400</xdr:rowOff>
        </xdr:to>
        <xdr:pic>
          <xdr:nvPicPr>
            <xdr:cNvPr id="32587" name="Picture 483">
              <a:extLst>
                <a:ext uri="{FF2B5EF4-FFF2-40B4-BE49-F238E27FC236}">
                  <a16:creationId xmlns:a16="http://schemas.microsoft.com/office/drawing/2014/main" id="{00000000-0008-0000-0300-00004B7F0000}"/>
                </a:ext>
              </a:extLst>
            </xdr:cNvPr>
            <xdr:cNvPicPr>
              <a:picLocks noChangeArrowheads="1"/>
              <a:extLst>
                <a:ext uri="{84589F7E-364E-4C9E-8A38-B11213B215E9}">
                  <a14:cameraTool cellRange="DADOS!$A$53:$K$57" spid="_x0000_s229467"/>
                </a:ext>
              </a:extLst>
            </xdr:cNvPicPr>
          </xdr:nvPicPr>
          <xdr:blipFill>
            <a:blip xmlns:r="http://schemas.openxmlformats.org/officeDocument/2006/relationships" r:embed="rId3"/>
            <a:srcRect/>
            <a:stretch>
              <a:fillRect/>
            </a:stretch>
          </xdr:blipFill>
          <xdr:spPr bwMode="auto">
            <a:xfrm>
              <a:off x="7667625" y="36156900"/>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588" name="SigiloPic">
              <a:extLst>
                <a:ext uri="{FF2B5EF4-FFF2-40B4-BE49-F238E27FC236}">
                  <a16:creationId xmlns:a16="http://schemas.microsoft.com/office/drawing/2014/main" id="{00000000-0008-0000-0300-00004C7F0000}"/>
                </a:ext>
              </a:extLst>
            </xdr:cNvPr>
            <xdr:cNvPicPr>
              <a:picLocks noChangeArrowheads="1"/>
              <a:extLst>
                <a:ext uri="{84589F7E-364E-4C9E-8A38-B11213B215E9}">
                  <a14:cameraTool cellRange="PO!$T$1:$T$2" spid="_x0000_s229468"/>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621" name="PIC2">
              <a:extLst>
                <a:ext uri="{FF2B5EF4-FFF2-40B4-BE49-F238E27FC236}">
                  <a16:creationId xmlns:a16="http://schemas.microsoft.com/office/drawing/2014/main" id="{00000000-0008-0000-0400-00007D170300}"/>
                </a:ext>
              </a:extLst>
            </xdr:cNvPr>
            <xdr:cNvPicPr>
              <a:picLocks noChangeArrowheads="1"/>
              <a:extLst>
                <a:ext uri="{84589F7E-364E-4C9E-8A38-B11213B215E9}">
                  <a14:cameraTool cellRange="DADOS!$A$220:$X$230" spid="_x0000_s230709"/>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622" name="PIC1">
              <a:extLst>
                <a:ext uri="{FF2B5EF4-FFF2-40B4-BE49-F238E27FC236}">
                  <a16:creationId xmlns:a16="http://schemas.microsoft.com/office/drawing/2014/main" id="{00000000-0008-0000-0400-00007E170300}"/>
                </a:ext>
              </a:extLst>
            </xdr:cNvPr>
            <xdr:cNvPicPr>
              <a:picLocks noChangeArrowheads="1"/>
              <a:extLst>
                <a:ext uri="{84589F7E-364E-4C9E-8A38-B11213B215E9}">
                  <a14:cameraTool cellRange="DADOS!$A$220:$X$230" spid="_x0000_s230710"/>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34</xdr:row>
          <xdr:rowOff>0</xdr:rowOff>
        </xdr:from>
        <xdr:to>
          <xdr:col>22</xdr:col>
          <xdr:colOff>28575</xdr:colOff>
          <xdr:row>38</xdr:row>
          <xdr:rowOff>142875</xdr:rowOff>
        </xdr:to>
        <xdr:pic>
          <xdr:nvPicPr>
            <xdr:cNvPr id="202623" name="Picture 483">
              <a:extLst>
                <a:ext uri="{FF2B5EF4-FFF2-40B4-BE49-F238E27FC236}">
                  <a16:creationId xmlns:a16="http://schemas.microsoft.com/office/drawing/2014/main" id="{00000000-0008-0000-0400-00007F170300}"/>
                </a:ext>
              </a:extLst>
            </xdr:cNvPr>
            <xdr:cNvPicPr>
              <a:picLocks noChangeArrowheads="1"/>
              <a:extLst>
                <a:ext uri="{84589F7E-364E-4C9E-8A38-B11213B215E9}">
                  <a14:cameraTool cellRange="DADOS!$A$53:$K$57" spid="_x0000_s230711"/>
                </a:ext>
              </a:extLst>
            </xdr:cNvPicPr>
          </xdr:nvPicPr>
          <xdr:blipFill>
            <a:blip xmlns:r="http://schemas.openxmlformats.org/officeDocument/2006/relationships" r:embed="rId3"/>
            <a:srcRect/>
            <a:stretch>
              <a:fillRect/>
            </a:stretch>
          </xdr:blipFill>
          <xdr:spPr bwMode="auto">
            <a:xfrm>
              <a:off x="6591300" y="5772150"/>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624" name="SigiloPic">
              <a:extLst>
                <a:ext uri="{FF2B5EF4-FFF2-40B4-BE49-F238E27FC236}">
                  <a16:creationId xmlns:a16="http://schemas.microsoft.com/office/drawing/2014/main" id="{00000000-0008-0000-0400-000080170300}"/>
                </a:ext>
              </a:extLst>
            </xdr:cNvPr>
            <xdr:cNvPicPr>
              <a:picLocks noChangeArrowheads="1"/>
              <a:extLst>
                <a:ext uri="{84589F7E-364E-4C9E-8A38-B11213B215E9}">
                  <a14:cameraTool cellRange="PO!$T$1:$T$2" spid="_x0000_s230712"/>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2625" name="Picture 2945">
              <a:extLst>
                <a:ext uri="{FF2B5EF4-FFF2-40B4-BE49-F238E27FC236}">
                  <a16:creationId xmlns:a16="http://schemas.microsoft.com/office/drawing/2014/main" id="{00000000-0008-0000-0400-000081170300}"/>
                </a:ext>
              </a:extLst>
            </xdr:cNvPr>
            <xdr:cNvPicPr>
              <a:picLocks noChangeArrowheads="1"/>
              <a:extLst>
                <a:ext uri="{84589F7E-364E-4C9E-8A38-B11213B215E9}">
                  <a14:cameraTool cellRange="DADOS!$A$53:$K$57" spid="_x0000_s230713"/>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26" name="Picture 2946">
              <a:extLst>
                <a:ext uri="{FF2B5EF4-FFF2-40B4-BE49-F238E27FC236}">
                  <a16:creationId xmlns:a16="http://schemas.microsoft.com/office/drawing/2014/main" id="{00000000-0008-0000-0400-000082170300}"/>
                </a:ext>
              </a:extLst>
            </xdr:cNvPr>
            <xdr:cNvPicPr>
              <a:picLocks noChangeArrowheads="1"/>
              <a:extLst>
                <a:ext uri="{84589F7E-364E-4C9E-8A38-B11213B215E9}">
                  <a14:cameraTool cellRange="PO!$T$1:$T$2" spid="_x0000_s23071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2627" name="Picture 2947">
              <a:extLst>
                <a:ext uri="{FF2B5EF4-FFF2-40B4-BE49-F238E27FC236}">
                  <a16:creationId xmlns:a16="http://schemas.microsoft.com/office/drawing/2014/main" id="{00000000-0008-0000-0400-000083170300}"/>
                </a:ext>
              </a:extLst>
            </xdr:cNvPr>
            <xdr:cNvPicPr>
              <a:picLocks noChangeArrowheads="1"/>
              <a:extLst>
                <a:ext uri="{84589F7E-364E-4C9E-8A38-B11213B215E9}">
                  <a14:cameraTool cellRange="DADOS!$A$53:$K$57" spid="_x0000_s230715"/>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28" name="Picture 2948">
              <a:extLst>
                <a:ext uri="{FF2B5EF4-FFF2-40B4-BE49-F238E27FC236}">
                  <a16:creationId xmlns:a16="http://schemas.microsoft.com/office/drawing/2014/main" id="{00000000-0008-0000-0400-000084170300}"/>
                </a:ext>
              </a:extLst>
            </xdr:cNvPr>
            <xdr:cNvPicPr>
              <a:picLocks noChangeArrowheads="1"/>
              <a:extLst>
                <a:ext uri="{84589F7E-364E-4C9E-8A38-B11213B215E9}">
                  <a14:cameraTool cellRange="PO!$T$1:$T$2" spid="_x0000_s23071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2629" name="Picture 2949">
              <a:extLst>
                <a:ext uri="{FF2B5EF4-FFF2-40B4-BE49-F238E27FC236}">
                  <a16:creationId xmlns:a16="http://schemas.microsoft.com/office/drawing/2014/main" id="{00000000-0008-0000-0400-000085170300}"/>
                </a:ext>
              </a:extLst>
            </xdr:cNvPr>
            <xdr:cNvPicPr>
              <a:picLocks noChangeArrowheads="1"/>
              <a:extLst>
                <a:ext uri="{84589F7E-364E-4C9E-8A38-B11213B215E9}">
                  <a14:cameraTool cellRange="DADOS!$A$53:$K$57" spid="_x0000_s230717"/>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0" name="Picture 2950">
              <a:extLst>
                <a:ext uri="{FF2B5EF4-FFF2-40B4-BE49-F238E27FC236}">
                  <a16:creationId xmlns:a16="http://schemas.microsoft.com/office/drawing/2014/main" id="{00000000-0008-0000-0400-000086170300}"/>
                </a:ext>
              </a:extLst>
            </xdr:cNvPr>
            <xdr:cNvPicPr>
              <a:picLocks noChangeArrowheads="1"/>
              <a:extLst>
                <a:ext uri="{84589F7E-364E-4C9E-8A38-B11213B215E9}">
                  <a14:cameraTool cellRange="PO!$T$1:$T$2" spid="_x0000_s23071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2631" name="Picture 2951">
              <a:extLst>
                <a:ext uri="{FF2B5EF4-FFF2-40B4-BE49-F238E27FC236}">
                  <a16:creationId xmlns:a16="http://schemas.microsoft.com/office/drawing/2014/main" id="{00000000-0008-0000-0400-000087170300}"/>
                </a:ext>
              </a:extLst>
            </xdr:cNvPr>
            <xdr:cNvPicPr>
              <a:picLocks noChangeArrowheads="1"/>
              <a:extLst>
                <a:ext uri="{84589F7E-364E-4C9E-8A38-B11213B215E9}">
                  <a14:cameraTool cellRange="DADOS!$A$53:$K$57" spid="_x0000_s230719"/>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2" name="Picture 2952">
              <a:extLst>
                <a:ext uri="{FF2B5EF4-FFF2-40B4-BE49-F238E27FC236}">
                  <a16:creationId xmlns:a16="http://schemas.microsoft.com/office/drawing/2014/main" id="{00000000-0008-0000-0400-000088170300}"/>
                </a:ext>
              </a:extLst>
            </xdr:cNvPr>
            <xdr:cNvPicPr>
              <a:picLocks noChangeArrowheads="1"/>
              <a:extLst>
                <a:ext uri="{84589F7E-364E-4C9E-8A38-B11213B215E9}">
                  <a14:cameraTool cellRange="PO!$T$1:$T$2" spid="_x0000_s23072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2633" name="Picture 2953">
              <a:extLst>
                <a:ext uri="{FF2B5EF4-FFF2-40B4-BE49-F238E27FC236}">
                  <a16:creationId xmlns:a16="http://schemas.microsoft.com/office/drawing/2014/main" id="{00000000-0008-0000-0400-000089170300}"/>
                </a:ext>
              </a:extLst>
            </xdr:cNvPr>
            <xdr:cNvPicPr>
              <a:picLocks noChangeArrowheads="1"/>
              <a:extLst>
                <a:ext uri="{84589F7E-364E-4C9E-8A38-B11213B215E9}">
                  <a14:cameraTool cellRange="DADOS!$A$53:$K$57" spid="_x0000_s230721"/>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4" name="Picture 2954">
              <a:extLst>
                <a:ext uri="{FF2B5EF4-FFF2-40B4-BE49-F238E27FC236}">
                  <a16:creationId xmlns:a16="http://schemas.microsoft.com/office/drawing/2014/main" id="{00000000-0008-0000-0400-00008A170300}"/>
                </a:ext>
              </a:extLst>
            </xdr:cNvPr>
            <xdr:cNvPicPr>
              <a:picLocks noChangeArrowheads="1"/>
              <a:extLst>
                <a:ext uri="{84589F7E-364E-4C9E-8A38-B11213B215E9}">
                  <a14:cameraTool cellRange="PO!$T$1:$T$2" spid="_x0000_s23072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28" zoomScaleSheetLayoutView="100" workbookViewId="0">
      <selection activeCell="A38" sqref="A38:B38"/>
    </sheetView>
  </sheetViews>
  <sheetFormatPr defaultColWidth="9.109375" defaultRowHeight="13.2" x14ac:dyDescent="0.25"/>
  <cols>
    <col min="1" max="2" width="8.6640625" style="8" customWidth="1"/>
    <col min="3" max="5" width="8.6640625" style="1" customWidth="1"/>
    <col min="6" max="8" width="8.6640625" style="7" customWidth="1"/>
    <col min="9" max="24" width="8.6640625" style="1" customWidth="1"/>
    <col min="25" max="16384" width="9.109375" style="1"/>
  </cols>
  <sheetData>
    <row r="1" spans="1:25" ht="12.75" customHeight="1" x14ac:dyDescent="0.25">
      <c r="A1" s="103">
        <v>27476</v>
      </c>
      <c r="B1" s="260" t="s">
        <v>2</v>
      </c>
      <c r="C1" s="260"/>
      <c r="D1" s="260"/>
      <c r="E1" s="260"/>
      <c r="F1" s="260"/>
      <c r="G1" s="260"/>
      <c r="H1" s="260"/>
      <c r="I1" s="260"/>
      <c r="J1" s="260"/>
      <c r="K1" s="260"/>
      <c r="L1" s="260"/>
      <c r="M1" s="260"/>
      <c r="N1" s="260"/>
      <c r="O1" s="260"/>
      <c r="P1" s="260"/>
      <c r="Q1" s="260"/>
      <c r="R1" s="260"/>
      <c r="S1" s="260"/>
      <c r="T1" s="260"/>
      <c r="U1" s="260"/>
      <c r="V1" s="260"/>
      <c r="W1" s="260"/>
      <c r="X1" s="261"/>
    </row>
    <row r="2" spans="1:25" ht="13.5" customHeight="1" x14ac:dyDescent="0.25">
      <c r="A2" s="105" t="s">
        <v>228</v>
      </c>
      <c r="B2" s="262"/>
      <c r="C2" s="262"/>
      <c r="D2" s="262"/>
      <c r="E2" s="262"/>
      <c r="F2" s="262"/>
      <c r="G2" s="262"/>
      <c r="H2" s="262"/>
      <c r="I2" s="262"/>
      <c r="J2" s="262"/>
      <c r="K2" s="262"/>
      <c r="L2" s="262"/>
      <c r="M2" s="262"/>
      <c r="N2" s="262"/>
      <c r="O2" s="262"/>
      <c r="P2" s="262"/>
      <c r="Q2" s="262"/>
      <c r="R2" s="262"/>
      <c r="S2" s="262"/>
      <c r="T2" s="262"/>
      <c r="U2" s="262"/>
      <c r="V2" s="262"/>
      <c r="W2" s="262"/>
      <c r="X2" s="263"/>
    </row>
    <row r="3" spans="1:25" ht="13.5" customHeight="1" x14ac:dyDescent="0.25">
      <c r="A3" s="1"/>
      <c r="B3" s="1"/>
      <c r="F3" s="1"/>
      <c r="G3" s="1"/>
      <c r="H3" s="1"/>
    </row>
    <row r="4" spans="1:25" s="21" customFormat="1" ht="12.75" customHeight="1" x14ac:dyDescent="0.25">
      <c r="A4" s="272" t="s">
        <v>168</v>
      </c>
      <c r="B4" s="272"/>
      <c r="C4" s="272"/>
      <c r="D4" s="272"/>
      <c r="E4" s="272"/>
      <c r="F4" s="272"/>
      <c r="G4" s="272"/>
      <c r="H4" s="272"/>
      <c r="I4" s="272"/>
      <c r="J4" s="272"/>
      <c r="K4" s="272"/>
      <c r="L4" s="272"/>
      <c r="M4" s="272"/>
      <c r="N4" s="272"/>
      <c r="O4" s="272"/>
      <c r="P4" s="272"/>
      <c r="Q4" s="272"/>
      <c r="R4" s="272"/>
      <c r="S4" s="272"/>
      <c r="T4" s="272"/>
      <c r="U4" s="272"/>
      <c r="V4" s="272"/>
      <c r="W4" s="272"/>
      <c r="X4" s="272"/>
    </row>
    <row r="5" spans="1:25" s="21" customFormat="1" x14ac:dyDescent="0.25">
      <c r="A5" s="22"/>
      <c r="B5" s="22"/>
      <c r="F5" s="23"/>
      <c r="G5" s="23"/>
      <c r="H5" s="23"/>
    </row>
    <row r="6" spans="1:25" s="22" customFormat="1" ht="24.9" customHeight="1" x14ac:dyDescent="0.25">
      <c r="A6" s="273" t="s">
        <v>179</v>
      </c>
      <c r="B6" s="274"/>
      <c r="C6" s="274"/>
      <c r="D6" s="274"/>
      <c r="E6" s="274"/>
      <c r="F6" s="274"/>
      <c r="G6" s="274"/>
      <c r="H6" s="274"/>
      <c r="I6" s="274"/>
      <c r="J6" s="274"/>
      <c r="K6" s="274"/>
      <c r="L6" s="274"/>
      <c r="M6" s="274"/>
      <c r="N6" s="274"/>
      <c r="O6" s="274"/>
      <c r="P6" s="274"/>
      <c r="Q6" s="274"/>
      <c r="R6" s="274"/>
      <c r="S6" s="274"/>
      <c r="T6" s="274"/>
      <c r="U6" s="274"/>
      <c r="V6" s="274"/>
      <c r="W6" s="274"/>
      <c r="X6" s="274"/>
    </row>
    <row r="7" spans="1:25" s="21" customFormat="1" ht="12.75" customHeight="1" x14ac:dyDescent="0.25">
      <c r="A7" s="22"/>
      <c r="B7" s="22"/>
      <c r="F7" s="23"/>
      <c r="G7" s="23"/>
      <c r="H7" s="23"/>
    </row>
    <row r="8" spans="1:25" s="21" customFormat="1" ht="12.75" customHeight="1" x14ac:dyDescent="0.25">
      <c r="A8" s="275" t="s">
        <v>23</v>
      </c>
      <c r="B8" s="275"/>
      <c r="C8" s="275"/>
      <c r="D8" s="275"/>
      <c r="E8" s="275"/>
      <c r="F8" s="275"/>
      <c r="G8" s="275"/>
      <c r="H8" s="275"/>
      <c r="I8" s="275"/>
      <c r="J8" s="275"/>
      <c r="K8" s="275"/>
      <c r="L8" s="275"/>
      <c r="M8" s="275"/>
      <c r="N8" s="275"/>
      <c r="O8" s="275"/>
      <c r="P8" s="275"/>
      <c r="Q8" s="275"/>
      <c r="R8" s="275"/>
      <c r="S8" s="275"/>
      <c r="T8" s="275"/>
      <c r="U8" s="275"/>
      <c r="V8" s="275"/>
      <c r="W8" s="275"/>
      <c r="X8" s="275"/>
      <c r="Y8" s="24"/>
    </row>
    <row r="9" spans="1:25" s="21" customFormat="1" ht="6" customHeight="1" x14ac:dyDescent="0.25">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5">
      <c r="A10" s="277" t="s">
        <v>169</v>
      </c>
      <c r="B10" s="277"/>
      <c r="C10" s="277"/>
      <c r="D10" s="277"/>
      <c r="E10" s="277"/>
      <c r="F10" s="277"/>
      <c r="G10" s="277"/>
      <c r="H10" s="277"/>
      <c r="I10" s="277"/>
      <c r="J10" s="277"/>
      <c r="K10" s="277"/>
      <c r="L10" s="277"/>
      <c r="M10" s="277"/>
      <c r="N10" s="277"/>
      <c r="O10" s="277"/>
      <c r="P10" s="277"/>
      <c r="Q10" s="277"/>
      <c r="R10" s="277"/>
      <c r="S10" s="277"/>
      <c r="T10" s="277"/>
      <c r="U10" s="277"/>
      <c r="V10" s="277"/>
      <c r="W10" s="277"/>
      <c r="X10" s="277"/>
    </row>
    <row r="11" spans="1:25" s="21" customFormat="1" ht="6" customHeight="1" x14ac:dyDescent="0.25">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 customHeight="1" x14ac:dyDescent="0.25">
      <c r="A12" s="277" t="s">
        <v>1</v>
      </c>
      <c r="B12" s="277"/>
      <c r="C12" s="277"/>
      <c r="D12" s="277"/>
      <c r="E12" s="277"/>
      <c r="F12" s="277"/>
      <c r="G12" s="277"/>
      <c r="H12" s="277"/>
      <c r="I12" s="277"/>
      <c r="J12" s="277"/>
      <c r="K12" s="277"/>
      <c r="L12" s="277"/>
      <c r="M12" s="277"/>
      <c r="N12" s="277"/>
      <c r="O12" s="277"/>
      <c r="P12" s="277"/>
      <c r="Q12" s="277"/>
      <c r="R12" s="277"/>
      <c r="S12" s="277"/>
      <c r="T12" s="277"/>
      <c r="U12" s="277"/>
      <c r="V12" s="277"/>
      <c r="W12" s="277"/>
      <c r="X12" s="277"/>
    </row>
    <row r="13" spans="1:25" s="21" customFormat="1" x14ac:dyDescent="0.25">
      <c r="A13" s="22"/>
      <c r="B13" s="22"/>
      <c r="F13" s="23"/>
      <c r="G13" s="23"/>
      <c r="H13" s="23"/>
    </row>
    <row r="14" spans="1:25" s="21" customFormat="1" x14ac:dyDescent="0.25">
      <c r="A14" s="276" t="s">
        <v>24</v>
      </c>
      <c r="B14" s="275"/>
      <c r="C14" s="275"/>
      <c r="D14" s="275"/>
      <c r="E14" s="275"/>
      <c r="F14" s="275"/>
      <c r="G14" s="275"/>
      <c r="H14" s="275"/>
      <c r="I14" s="275"/>
      <c r="J14" s="275"/>
      <c r="K14" s="275"/>
      <c r="L14" s="275"/>
      <c r="M14" s="275"/>
      <c r="N14" s="275"/>
      <c r="O14" s="275"/>
      <c r="P14" s="275"/>
      <c r="Q14" s="275"/>
      <c r="R14" s="275"/>
      <c r="S14" s="275"/>
      <c r="T14" s="275"/>
      <c r="U14" s="275"/>
      <c r="V14" s="275"/>
      <c r="W14" s="275"/>
      <c r="X14" s="275"/>
    </row>
    <row r="15" spans="1:25" s="21" customFormat="1" x14ac:dyDescent="0.25">
      <c r="A15" s="22"/>
      <c r="B15" s="22"/>
      <c r="F15" s="23"/>
      <c r="G15" s="23"/>
      <c r="H15" s="23"/>
    </row>
    <row r="16" spans="1:25" s="21" customFormat="1" x14ac:dyDescent="0.25">
      <c r="A16" s="244" t="s">
        <v>186</v>
      </c>
      <c r="B16" s="245"/>
      <c r="C16" s="245"/>
      <c r="D16" s="245"/>
      <c r="E16" s="245"/>
      <c r="F16" s="245"/>
      <c r="G16" s="245"/>
      <c r="H16" s="245"/>
      <c r="I16" s="245"/>
      <c r="J16" s="245"/>
      <c r="K16" s="245"/>
      <c r="L16" s="245"/>
      <c r="M16" s="245"/>
      <c r="N16" s="245"/>
      <c r="O16" s="245"/>
      <c r="P16" s="245"/>
      <c r="Q16" s="245"/>
      <c r="R16" s="245"/>
      <c r="S16" s="245"/>
      <c r="T16" s="245"/>
      <c r="U16" s="245"/>
      <c r="V16" s="245"/>
      <c r="W16" s="245"/>
      <c r="X16" s="245"/>
    </row>
    <row r="17" spans="1:25" s="21" customFormat="1" ht="6" customHeight="1" x14ac:dyDescent="0.25">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5">
      <c r="A18" s="246" t="s">
        <v>187</v>
      </c>
      <c r="B18" s="246"/>
      <c r="C18" s="247"/>
      <c r="D18" s="247"/>
      <c r="E18" s="247"/>
      <c r="F18" s="247"/>
      <c r="G18" s="247"/>
      <c r="H18" s="247"/>
      <c r="I18" s="247"/>
      <c r="J18" s="247"/>
      <c r="K18" s="247"/>
      <c r="L18" s="247"/>
      <c r="M18" s="247"/>
      <c r="N18" s="247"/>
      <c r="O18" s="247"/>
      <c r="P18" s="247"/>
      <c r="Q18" s="247"/>
      <c r="R18" s="247"/>
      <c r="S18" s="247"/>
      <c r="T18" s="247"/>
      <c r="U18" s="247"/>
      <c r="V18" s="247"/>
      <c r="W18" s="247"/>
      <c r="X18" s="247"/>
    </row>
    <row r="19" spans="1:25" s="21" customFormat="1" x14ac:dyDescent="0.25">
      <c r="A19" s="22"/>
      <c r="B19" s="22"/>
      <c r="F19" s="23"/>
      <c r="G19" s="23"/>
      <c r="H19" s="23"/>
    </row>
    <row r="20" spans="1:25" s="21" customFormat="1" x14ac:dyDescent="0.25">
      <c r="A20" s="22"/>
      <c r="B20" s="22"/>
      <c r="F20" s="23"/>
      <c r="G20" s="23"/>
      <c r="H20" s="23"/>
    </row>
    <row r="21" spans="1:25" s="21" customFormat="1" x14ac:dyDescent="0.25">
      <c r="B21" s="22"/>
      <c r="F21" s="23"/>
      <c r="G21" s="23"/>
      <c r="H21" s="23"/>
    </row>
    <row r="22" spans="1:25" s="21" customFormat="1" ht="12.75" customHeight="1" x14ac:dyDescent="0.25">
      <c r="A22" s="244" t="s">
        <v>189</v>
      </c>
      <c r="B22" s="245"/>
      <c r="C22" s="245"/>
      <c r="D22" s="245"/>
      <c r="E22" s="245"/>
      <c r="F22" s="245"/>
      <c r="G22" s="245"/>
      <c r="H22" s="245"/>
      <c r="I22" s="245"/>
      <c r="J22" s="223"/>
      <c r="K22" s="223"/>
      <c r="L22" s="223"/>
      <c r="M22" s="223"/>
      <c r="N22" s="223"/>
      <c r="O22" s="223"/>
      <c r="P22" s="223"/>
      <c r="Q22" s="223"/>
      <c r="R22" s="223"/>
      <c r="S22" s="223"/>
      <c r="T22" s="223"/>
      <c r="U22" s="223"/>
      <c r="V22" s="223"/>
      <c r="W22" s="223"/>
      <c r="X22" s="223"/>
      <c r="Y22" s="223"/>
    </row>
    <row r="23" spans="1:25" s="21" customFormat="1" ht="6" customHeight="1" x14ac:dyDescent="0.25">
      <c r="A23" s="48"/>
    </row>
    <row r="24" spans="1:25" s="21" customFormat="1" ht="12.75" customHeight="1" x14ac:dyDescent="0.25">
      <c r="A24" s="246" t="s">
        <v>190</v>
      </c>
      <c r="B24" s="246"/>
      <c r="C24" s="247"/>
      <c r="D24" s="247"/>
      <c r="E24" s="247"/>
      <c r="F24" s="247"/>
      <c r="G24" s="247"/>
      <c r="H24" s="247"/>
      <c r="I24" s="247"/>
      <c r="J24" s="247"/>
      <c r="K24" s="247"/>
      <c r="L24" s="247"/>
      <c r="M24" s="247"/>
      <c r="N24" s="247"/>
      <c r="O24" s="247"/>
      <c r="P24" s="247"/>
      <c r="Q24" s="247"/>
      <c r="R24" s="247"/>
      <c r="S24" s="247"/>
      <c r="T24" s="247"/>
      <c r="U24" s="247"/>
      <c r="V24" s="247"/>
      <c r="W24" s="247"/>
      <c r="X24" s="247"/>
    </row>
    <row r="25" spans="1:25" s="21" customFormat="1" ht="6" customHeight="1" x14ac:dyDescent="0.25">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5">
      <c r="A26" s="242" t="s">
        <v>191</v>
      </c>
      <c r="B26" s="242"/>
      <c r="C26" s="243"/>
      <c r="D26" s="243"/>
      <c r="E26" s="243"/>
      <c r="F26" s="243"/>
      <c r="G26" s="243"/>
      <c r="H26" s="243"/>
      <c r="I26" s="243"/>
      <c r="J26" s="243"/>
      <c r="K26" s="243"/>
      <c r="L26" s="243"/>
      <c r="M26" s="243"/>
      <c r="N26" s="243"/>
      <c r="O26" s="243"/>
      <c r="P26" s="243"/>
      <c r="Q26" s="243"/>
      <c r="R26" s="243"/>
      <c r="S26" s="243"/>
      <c r="T26" s="243"/>
      <c r="U26" s="243"/>
      <c r="V26" s="243"/>
      <c r="W26" s="243"/>
      <c r="X26" s="243"/>
    </row>
    <row r="27" spans="1:25" s="21" customFormat="1" ht="6" customHeight="1" x14ac:dyDescent="0.25">
      <c r="A27" s="25"/>
      <c r="B27" s="25"/>
      <c r="F27" s="23"/>
      <c r="G27" s="23"/>
      <c r="H27" s="23"/>
    </row>
    <row r="28" spans="1:25" ht="12.75" customHeight="1" x14ac:dyDescent="0.25">
      <c r="A28" s="240" t="s">
        <v>177</v>
      </c>
      <c r="B28" s="251"/>
      <c r="C28" s="240" t="s">
        <v>170</v>
      </c>
      <c r="D28" s="241"/>
      <c r="E28" s="251"/>
      <c r="F28" s="240" t="s">
        <v>171</v>
      </c>
      <c r="G28" s="241"/>
      <c r="H28" s="241"/>
      <c r="I28" s="251"/>
      <c r="J28" s="240" t="s">
        <v>172</v>
      </c>
      <c r="K28" s="241"/>
      <c r="L28" s="241"/>
      <c r="M28" s="241"/>
      <c r="N28" s="241"/>
      <c r="O28" s="251"/>
      <c r="P28" s="240" t="s">
        <v>0</v>
      </c>
      <c r="Q28" s="241"/>
      <c r="R28" s="241"/>
      <c r="S28" s="241"/>
      <c r="T28" s="241"/>
      <c r="U28" s="241"/>
      <c r="V28" s="241"/>
      <c r="W28" s="241"/>
      <c r="X28" s="251"/>
    </row>
    <row r="29" spans="1:25" ht="12.75" customHeight="1" x14ac:dyDescent="0.25">
      <c r="A29" s="235"/>
      <c r="B29" s="252"/>
      <c r="C29" s="235"/>
      <c r="D29" s="236"/>
      <c r="E29" s="237"/>
      <c r="F29" s="235"/>
      <c r="G29" s="309"/>
      <c r="H29" s="309"/>
      <c r="I29" s="252"/>
      <c r="J29" s="235"/>
      <c r="K29" s="309"/>
      <c r="L29" s="309"/>
      <c r="M29" s="309"/>
      <c r="N29" s="309"/>
      <c r="O29" s="252"/>
      <c r="P29" s="235" t="s">
        <v>299</v>
      </c>
      <c r="Q29" s="309"/>
      <c r="R29" s="309"/>
      <c r="S29" s="309"/>
      <c r="T29" s="309"/>
      <c r="U29" s="309"/>
      <c r="V29" s="309"/>
      <c r="W29" s="309"/>
      <c r="X29" s="252"/>
    </row>
    <row r="30" spans="1:25" ht="6" customHeight="1" x14ac:dyDescent="0.25">
      <c r="A30" s="3"/>
      <c r="B30" s="3"/>
      <c r="C30" s="3"/>
      <c r="D30" s="3"/>
      <c r="E30" s="3"/>
      <c r="F30" s="3"/>
      <c r="G30" s="3"/>
      <c r="H30" s="3"/>
      <c r="I30" s="3"/>
      <c r="J30" s="3"/>
      <c r="K30" s="3"/>
      <c r="L30" s="3"/>
      <c r="M30" s="3"/>
      <c r="N30" s="3"/>
      <c r="O30" s="3"/>
      <c r="P30" s="3"/>
      <c r="Q30" s="3"/>
      <c r="R30" s="3"/>
      <c r="S30" s="3"/>
      <c r="T30" s="3"/>
      <c r="U30" s="3"/>
      <c r="V30" s="3"/>
    </row>
    <row r="31" spans="1:25" x14ac:dyDescent="0.25">
      <c r="A31" s="240" t="s">
        <v>173</v>
      </c>
      <c r="B31" s="241"/>
      <c r="C31" s="241"/>
      <c r="D31" s="241"/>
      <c r="E31" s="241"/>
      <c r="F31" s="251"/>
      <c r="G31" s="240" t="s">
        <v>174</v>
      </c>
      <c r="H31" s="241"/>
      <c r="I31" s="241"/>
      <c r="J31" s="251"/>
      <c r="K31" s="240" t="s">
        <v>175</v>
      </c>
      <c r="L31" s="241"/>
      <c r="M31" s="241"/>
      <c r="N31" s="241"/>
      <c r="O31" s="241"/>
      <c r="P31" s="251"/>
      <c r="Q31" s="240" t="s">
        <v>180</v>
      </c>
      <c r="R31" s="241"/>
      <c r="S31" s="241"/>
      <c r="T31" s="241"/>
      <c r="U31" s="241"/>
      <c r="V31" s="241"/>
      <c r="W31" s="241"/>
      <c r="X31" s="251"/>
    </row>
    <row r="32" spans="1:25" x14ac:dyDescent="0.25">
      <c r="A32" s="310" t="s">
        <v>230</v>
      </c>
      <c r="B32" s="311"/>
      <c r="C32" s="311"/>
      <c r="D32" s="311"/>
      <c r="E32" s="311"/>
      <c r="F32" s="312"/>
      <c r="G32" s="235" t="s">
        <v>231</v>
      </c>
      <c r="H32" s="236"/>
      <c r="I32" s="236"/>
      <c r="J32" s="237"/>
      <c r="K32" s="235" t="s">
        <v>300</v>
      </c>
      <c r="L32" s="309"/>
      <c r="M32" s="309"/>
      <c r="N32" s="309"/>
      <c r="O32" s="309"/>
      <c r="P32" s="252"/>
      <c r="Q32" s="235" t="s">
        <v>299</v>
      </c>
      <c r="R32" s="309"/>
      <c r="S32" s="309"/>
      <c r="T32" s="309"/>
      <c r="U32" s="309"/>
      <c r="V32" s="309"/>
      <c r="W32" s="309"/>
      <c r="X32" s="252"/>
    </row>
    <row r="33" spans="1:24" s="21" customFormat="1" ht="9" customHeight="1" x14ac:dyDescent="0.25">
      <c r="A33" s="22"/>
      <c r="B33" s="22"/>
      <c r="F33" s="23"/>
      <c r="G33" s="23"/>
      <c r="H33" s="23"/>
    </row>
    <row r="34" spans="1:24" s="27" customFormat="1" x14ac:dyDescent="0.25"/>
    <row r="35" spans="1:24" s="21" customFormat="1" ht="12.75" customHeight="1" x14ac:dyDescent="0.25">
      <c r="A35" s="242" t="s">
        <v>192</v>
      </c>
      <c r="B35" s="242"/>
      <c r="C35" s="243"/>
      <c r="D35" s="243"/>
      <c r="E35" s="243"/>
      <c r="F35" s="243"/>
      <c r="G35" s="243"/>
      <c r="H35" s="243"/>
      <c r="I35" s="243"/>
      <c r="J35" s="243"/>
      <c r="K35" s="243"/>
      <c r="L35" s="243"/>
      <c r="M35" s="243"/>
      <c r="N35" s="243"/>
      <c r="O35" s="243"/>
      <c r="P35" s="243"/>
      <c r="Q35" s="243"/>
      <c r="R35" s="243"/>
      <c r="S35" s="243"/>
      <c r="T35" s="243"/>
      <c r="U35" s="243"/>
      <c r="V35" s="243"/>
      <c r="W35" s="243"/>
      <c r="X35" s="243"/>
    </row>
    <row r="36" spans="1:24" s="21" customFormat="1" ht="6" customHeight="1" x14ac:dyDescent="0.25">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5">
      <c r="A37" s="240" t="s">
        <v>16</v>
      </c>
      <c r="B37" s="251"/>
      <c r="C37" s="92" t="s">
        <v>91</v>
      </c>
      <c r="D37" s="240" t="s">
        <v>14</v>
      </c>
      <c r="E37" s="241"/>
      <c r="F37" s="251"/>
      <c r="G37" s="240" t="s">
        <v>12</v>
      </c>
      <c r="H37" s="241"/>
      <c r="I37" s="241"/>
      <c r="J37" s="241"/>
      <c r="K37" s="241"/>
      <c r="L37" s="241"/>
      <c r="M37" s="241"/>
      <c r="N37" s="241"/>
      <c r="O37" s="241"/>
      <c r="P37" s="241"/>
      <c r="Q37" s="241"/>
      <c r="R37" s="241"/>
      <c r="S37" s="251"/>
      <c r="T37" s="93" t="s">
        <v>7</v>
      </c>
      <c r="U37" s="93" t="s">
        <v>8</v>
      </c>
      <c r="V37" s="93" t="s">
        <v>9</v>
      </c>
      <c r="W37" s="93" t="s">
        <v>10</v>
      </c>
      <c r="X37" s="93" t="s">
        <v>11</v>
      </c>
    </row>
    <row r="38" spans="1:24" s="21" customFormat="1" ht="12.75" customHeight="1" x14ac:dyDescent="0.25">
      <c r="A38" s="256">
        <v>45580</v>
      </c>
      <c r="B38" s="257"/>
      <c r="C38" s="91" t="s">
        <v>234</v>
      </c>
      <c r="D38" s="235" t="s">
        <v>78</v>
      </c>
      <c r="E38" s="236"/>
      <c r="F38" s="237"/>
      <c r="G38" s="235" t="s">
        <v>299</v>
      </c>
      <c r="H38" s="236"/>
      <c r="I38" s="236"/>
      <c r="J38" s="236"/>
      <c r="K38" s="236"/>
      <c r="L38" s="236"/>
      <c r="M38" s="236"/>
      <c r="N38" s="236"/>
      <c r="O38" s="236"/>
      <c r="P38" s="236"/>
      <c r="Q38" s="236"/>
      <c r="R38" s="236"/>
      <c r="S38" s="237"/>
      <c r="T38" s="95">
        <f ca="1">IF(ISERROR(INDIRECT("'BDI ("&amp;RIGHT(T37,1)&amp;")'!N27")),"",INDIRECT("'BDI ("&amp;RIGHT(T37,1)&amp;")'!N27"))</f>
        <v>0.23</v>
      </c>
      <c r="U38" s="96">
        <f ca="1">IF(ISERROR(INDIRECT("'BDI ("&amp;RIGHT(U37,1)&amp;")'!N27")),"",INDIRECT("'BDI ("&amp;RIGHT(U37,1)&amp;")'!N27"))</f>
        <v>0.1988</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5">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5">
      <c r="A40" s="242" t="s">
        <v>162</v>
      </c>
      <c r="B40" s="242"/>
      <c r="C40" s="243"/>
      <c r="D40" s="243"/>
      <c r="E40" s="243"/>
      <c r="F40" s="243"/>
      <c r="G40" s="243"/>
      <c r="H40" s="243"/>
      <c r="I40" s="243"/>
      <c r="J40" s="243"/>
      <c r="K40" s="243"/>
      <c r="L40" s="243"/>
      <c r="M40" s="243"/>
      <c r="N40" s="243"/>
      <c r="O40" s="243"/>
      <c r="P40" s="243"/>
      <c r="Q40" s="243"/>
      <c r="R40" s="243"/>
      <c r="S40" s="243"/>
      <c r="T40" s="243"/>
      <c r="U40" s="243"/>
      <c r="V40" s="243"/>
      <c r="W40" s="243"/>
      <c r="X40" s="243"/>
    </row>
    <row r="41" spans="1:24" s="21" customFormat="1" ht="6" customHeight="1" x14ac:dyDescent="0.25">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5">
      <c r="A42" s="240" t="s">
        <v>87</v>
      </c>
      <c r="B42" s="251"/>
      <c r="C42" s="240" t="s">
        <v>111</v>
      </c>
      <c r="D42" s="241"/>
      <c r="E42" s="241"/>
      <c r="F42" s="241"/>
      <c r="G42" s="241"/>
      <c r="H42" s="240" t="s">
        <v>16</v>
      </c>
      <c r="I42" s="241"/>
      <c r="J42" s="28" t="s">
        <v>91</v>
      </c>
      <c r="K42" s="240" t="s">
        <v>88</v>
      </c>
      <c r="L42" s="241"/>
      <c r="M42" s="251"/>
      <c r="N42" s="28" t="s">
        <v>92</v>
      </c>
      <c r="O42" s="240" t="s">
        <v>93</v>
      </c>
      <c r="P42" s="241"/>
      <c r="Q42" s="241"/>
      <c r="R42" s="241"/>
      <c r="S42" s="241"/>
      <c r="T42" s="251"/>
      <c r="U42" s="258" t="s">
        <v>89</v>
      </c>
      <c r="V42" s="259"/>
      <c r="W42" s="258" t="s">
        <v>90</v>
      </c>
      <c r="X42" s="259"/>
    </row>
    <row r="43" spans="1:24" s="21" customFormat="1" ht="12.75" customHeight="1" x14ac:dyDescent="0.25">
      <c r="A43" s="279"/>
      <c r="B43" s="280"/>
      <c r="C43" s="235"/>
      <c r="D43" s="236"/>
      <c r="E43" s="236"/>
      <c r="F43" s="236"/>
      <c r="G43" s="236"/>
      <c r="H43" s="256"/>
      <c r="I43" s="257"/>
      <c r="J43" s="88"/>
      <c r="K43" s="313"/>
      <c r="L43" s="314"/>
      <c r="M43" s="315"/>
      <c r="N43" s="104"/>
      <c r="O43" s="267"/>
      <c r="P43" s="268"/>
      <c r="Q43" s="268"/>
      <c r="R43" s="269"/>
      <c r="S43" s="269"/>
      <c r="T43" s="270"/>
      <c r="U43" s="265"/>
      <c r="V43" s="271"/>
      <c r="W43" s="265"/>
      <c r="X43" s="266"/>
    </row>
    <row r="44" spans="1:24" s="21" customFormat="1" ht="12.75" customHeight="1" x14ac:dyDescent="0.25">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5">
      <c r="A45" s="242" t="s">
        <v>193</v>
      </c>
      <c r="B45" s="242"/>
      <c r="C45" s="243"/>
      <c r="D45" s="243"/>
      <c r="E45" s="243"/>
      <c r="F45" s="243"/>
      <c r="G45" s="243"/>
      <c r="H45" s="243"/>
      <c r="I45" s="243"/>
      <c r="J45" s="243"/>
      <c r="K45" s="243"/>
      <c r="L45" s="243"/>
      <c r="M45" s="243"/>
      <c r="N45" s="243"/>
      <c r="O45" s="243"/>
      <c r="P45" s="243"/>
      <c r="Q45" s="243"/>
      <c r="R45" s="243"/>
      <c r="S45" s="243"/>
      <c r="T45" s="243"/>
      <c r="U45" s="243"/>
      <c r="V45" s="243"/>
      <c r="W45" s="243"/>
      <c r="X45" s="243"/>
    </row>
    <row r="46" spans="1:24" s="21" customFormat="1" ht="6" customHeight="1" x14ac:dyDescent="0.25">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5">
      <c r="A47" s="28" t="s">
        <v>15</v>
      </c>
      <c r="B47" s="29"/>
      <c r="C47" s="30"/>
    </row>
    <row r="48" spans="1:24" s="21" customFormat="1" x14ac:dyDescent="0.25">
      <c r="A48" s="293">
        <v>45352</v>
      </c>
      <c r="B48" s="294"/>
      <c r="C48" s="295"/>
      <c r="E48" s="37"/>
    </row>
    <row r="49" spans="1:24" s="21" customFormat="1" x14ac:dyDescent="0.25">
      <c r="A49" s="22"/>
      <c r="B49" s="22"/>
      <c r="F49" s="33"/>
      <c r="G49" s="34"/>
      <c r="H49" s="35"/>
    </row>
    <row r="50" spans="1:24" s="21" customFormat="1" x14ac:dyDescent="0.25">
      <c r="A50" s="242" t="s">
        <v>194</v>
      </c>
      <c r="B50" s="242"/>
      <c r="C50" s="243"/>
      <c r="D50" s="243"/>
      <c r="E50" s="243"/>
      <c r="F50" s="243"/>
      <c r="G50" s="243"/>
      <c r="H50" s="243"/>
      <c r="I50" s="243"/>
      <c r="J50" s="243"/>
      <c r="K50" s="243"/>
      <c r="L50" s="243"/>
      <c r="M50" s="243"/>
      <c r="N50" s="243"/>
      <c r="O50" s="243"/>
      <c r="P50" s="243"/>
      <c r="Q50" s="243"/>
      <c r="R50" s="243"/>
      <c r="S50" s="243"/>
      <c r="T50" s="243"/>
      <c r="U50" s="243"/>
      <c r="V50" s="243"/>
      <c r="W50" s="243"/>
      <c r="X50" s="243"/>
    </row>
    <row r="51" spans="1:24" s="21" customFormat="1" x14ac:dyDescent="0.25">
      <c r="A51" s="26"/>
      <c r="B51" s="26"/>
      <c r="C51" s="32"/>
      <c r="D51" s="32"/>
      <c r="E51" s="32"/>
      <c r="F51" s="32"/>
      <c r="G51" s="32"/>
      <c r="H51" s="32"/>
      <c r="I51" s="32"/>
      <c r="J51" s="32"/>
      <c r="K51" s="32"/>
      <c r="L51" s="32"/>
      <c r="M51"/>
      <c r="N51"/>
      <c r="O51"/>
      <c r="P51"/>
      <c r="Q51"/>
      <c r="R51"/>
      <c r="S51"/>
      <c r="T51"/>
      <c r="U51"/>
      <c r="V51"/>
      <c r="W51"/>
      <c r="X51"/>
    </row>
    <row r="52" spans="1:24" s="21" customFormat="1" x14ac:dyDescent="0.25">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5">
      <c r="A53" s="39"/>
      <c r="B53" s="39"/>
      <c r="C53" s="40"/>
      <c r="D53" s="40"/>
      <c r="E53" s="40"/>
      <c r="F53" s="33"/>
      <c r="G53" s="39"/>
      <c r="H53" s="39"/>
      <c r="I53" s="40"/>
      <c r="J53" s="40"/>
      <c r="K53" s="40"/>
      <c r="L53" s="2"/>
      <c r="M53"/>
      <c r="N53"/>
      <c r="O53"/>
      <c r="P53"/>
      <c r="Q53"/>
      <c r="R53"/>
      <c r="S53"/>
      <c r="T53"/>
      <c r="U53"/>
      <c r="V53"/>
      <c r="W53"/>
      <c r="X53"/>
    </row>
    <row r="54" spans="1:24" s="21" customFormat="1" x14ac:dyDescent="0.25">
      <c r="A54" s="101" t="s">
        <v>140</v>
      </c>
      <c r="B54" s="296"/>
      <c r="C54" s="297"/>
      <c r="D54" s="297"/>
      <c r="E54" s="297"/>
      <c r="F54" s="33"/>
      <c r="G54" s="101" t="s">
        <v>140</v>
      </c>
      <c r="H54" s="297"/>
      <c r="I54" s="297"/>
      <c r="J54" s="297"/>
      <c r="K54" s="297"/>
      <c r="L54" s="2"/>
      <c r="M54"/>
      <c r="N54"/>
      <c r="O54"/>
      <c r="P54"/>
      <c r="Q54"/>
      <c r="R54"/>
      <c r="S54"/>
      <c r="T54"/>
      <c r="U54"/>
      <c r="V54"/>
      <c r="W54"/>
      <c r="X54"/>
    </row>
    <row r="55" spans="1:24" s="21" customFormat="1" x14ac:dyDescent="0.25">
      <c r="A55" s="101" t="str">
        <f>IF(OR(TipoOrçamento="BASE",TipoOrçamento="REPROGRAMADONPL"),"Título:","Cargo:")</f>
        <v>Cargo:</v>
      </c>
      <c r="B55" s="296"/>
      <c r="C55" s="297"/>
      <c r="D55" s="297"/>
      <c r="E55" s="297"/>
      <c r="F55" s="33"/>
      <c r="G55" s="101" t="str">
        <f>A55</f>
        <v>Cargo:</v>
      </c>
      <c r="H55" s="297"/>
      <c r="I55" s="297"/>
      <c r="J55" s="297"/>
      <c r="K55" s="297"/>
      <c r="L55" s="2"/>
      <c r="M55"/>
      <c r="N55"/>
      <c r="O55"/>
      <c r="P55"/>
      <c r="Q55"/>
      <c r="R55"/>
      <c r="S55"/>
      <c r="T55"/>
      <c r="U55"/>
      <c r="V55"/>
      <c r="W55"/>
      <c r="X55"/>
    </row>
    <row r="56" spans="1:24" s="21" customFormat="1" x14ac:dyDescent="0.25">
      <c r="A56" s="101" t="str">
        <f>IF(OR(TipoOrçamento="BASE",TipoOrçamento="REPROGRAMADONPL"),"CREA/CAU:","Empresa:")</f>
        <v>Empresa:</v>
      </c>
      <c r="B56" s="278"/>
      <c r="C56" s="264"/>
      <c r="D56" s="264"/>
      <c r="E56" s="264"/>
      <c r="F56" s="33"/>
      <c r="G56" s="101" t="str">
        <f>A56</f>
        <v>Empresa:</v>
      </c>
      <c r="H56" s="264"/>
      <c r="I56" s="264"/>
      <c r="J56" s="264"/>
      <c r="K56" s="264"/>
      <c r="L56" s="2"/>
      <c r="M56"/>
      <c r="N56"/>
      <c r="O56"/>
      <c r="P56"/>
      <c r="Q56"/>
      <c r="R56"/>
      <c r="S56"/>
      <c r="T56"/>
      <c r="U56"/>
      <c r="V56"/>
      <c r="W56"/>
      <c r="X56"/>
    </row>
    <row r="57" spans="1:24" s="21" customFormat="1" x14ac:dyDescent="0.25">
      <c r="A57" s="101" t="str">
        <f>IF(OR(TipoOrçamento="BASE",TipoOrçamento="REPROGRAMADONPL"),"ART/RRT:","CNPJ:")</f>
        <v>CNPJ:</v>
      </c>
      <c r="B57" s="278"/>
      <c r="C57" s="264"/>
      <c r="D57" s="264"/>
      <c r="E57" s="264"/>
      <c r="F57" s="33"/>
      <c r="G57" s="101" t="str">
        <f>A57</f>
        <v>CNPJ:</v>
      </c>
      <c r="H57" s="264"/>
      <c r="I57" s="264"/>
      <c r="J57" s="264"/>
      <c r="K57" s="264"/>
      <c r="L57" s="2"/>
      <c r="M57"/>
      <c r="N57"/>
      <c r="O57"/>
      <c r="P57"/>
      <c r="Q57"/>
      <c r="R57"/>
      <c r="S57"/>
      <c r="T57"/>
      <c r="U57"/>
      <c r="V57"/>
      <c r="W57"/>
      <c r="X57"/>
    </row>
    <row r="58" spans="1:24" s="21" customFormat="1" x14ac:dyDescent="0.25">
      <c r="A58" s="22"/>
      <c r="B58" s="22"/>
      <c r="F58" s="33"/>
      <c r="G58" s="34"/>
      <c r="H58" s="35"/>
      <c r="M58"/>
      <c r="N58"/>
      <c r="O58"/>
      <c r="P58"/>
      <c r="Q58"/>
      <c r="R58"/>
      <c r="S58"/>
      <c r="T58"/>
      <c r="U58"/>
      <c r="V58"/>
      <c r="W58"/>
      <c r="X58"/>
    </row>
    <row r="59" spans="1:24" s="21" customFormat="1" x14ac:dyDescent="0.25">
      <c r="A59" s="22"/>
      <c r="B59" s="22"/>
      <c r="F59" s="33"/>
      <c r="G59" s="34"/>
      <c r="H59" s="35"/>
      <c r="M59"/>
      <c r="N59"/>
      <c r="O59"/>
      <c r="P59"/>
      <c r="Q59"/>
      <c r="R59"/>
      <c r="S59"/>
      <c r="T59"/>
      <c r="U59"/>
      <c r="V59"/>
      <c r="W59"/>
      <c r="X59"/>
    </row>
    <row r="60" spans="1:24" s="21" customFormat="1" ht="12.75" customHeight="1" x14ac:dyDescent="0.25">
      <c r="A60" s="246" t="s">
        <v>195</v>
      </c>
      <c r="B60" s="246"/>
      <c r="C60" s="247"/>
      <c r="D60" s="247"/>
      <c r="E60" s="247"/>
      <c r="F60" s="247"/>
      <c r="G60" s="247"/>
      <c r="H60" s="247"/>
      <c r="I60" s="247"/>
      <c r="J60" s="247"/>
      <c r="K60" s="247"/>
      <c r="L60" s="247"/>
      <c r="M60" s="247"/>
      <c r="N60" s="247"/>
      <c r="O60" s="247"/>
      <c r="P60" s="247"/>
      <c r="Q60" s="247"/>
      <c r="R60" s="247"/>
      <c r="S60" s="247"/>
      <c r="T60" s="247"/>
      <c r="U60" s="247"/>
      <c r="V60" s="247"/>
      <c r="W60" s="247"/>
      <c r="X60" s="247"/>
    </row>
    <row r="61" spans="1:24" s="21" customFormat="1" x14ac:dyDescent="0.25">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5">
      <c r="A62" s="253" t="s">
        <v>196</v>
      </c>
      <c r="B62" s="254"/>
      <c r="C62" s="255"/>
      <c r="D62" s="255"/>
      <c r="E62" s="255"/>
      <c r="F62" s="255"/>
      <c r="G62" s="255"/>
      <c r="H62" s="255"/>
      <c r="I62" s="255"/>
      <c r="J62" s="255"/>
      <c r="K62" s="255"/>
      <c r="L62" s="255"/>
      <c r="M62" s="255"/>
      <c r="N62" s="255"/>
      <c r="O62" s="255"/>
      <c r="P62" s="255"/>
      <c r="Q62" s="255"/>
      <c r="R62" s="255"/>
      <c r="S62" s="255"/>
      <c r="T62" s="255"/>
      <c r="U62" s="255"/>
      <c r="V62" s="255"/>
      <c r="W62" s="255"/>
      <c r="X62" s="255"/>
    </row>
    <row r="63" spans="1:24" s="21" customFormat="1" ht="30" customHeight="1" x14ac:dyDescent="0.25">
      <c r="A63" s="253" t="s">
        <v>197</v>
      </c>
      <c r="B63" s="253"/>
      <c r="C63" s="298"/>
      <c r="D63" s="298"/>
      <c r="E63" s="298"/>
      <c r="F63" s="298"/>
      <c r="G63" s="298"/>
      <c r="H63" s="298"/>
      <c r="I63" s="298"/>
      <c r="J63" s="298"/>
      <c r="K63" s="298"/>
      <c r="L63" s="298"/>
      <c r="M63" s="298"/>
      <c r="N63" s="298"/>
      <c r="O63" s="298"/>
      <c r="P63" s="298"/>
      <c r="Q63" s="298"/>
      <c r="R63" s="298"/>
      <c r="S63" s="298"/>
      <c r="T63" s="298"/>
      <c r="U63" s="298"/>
      <c r="V63" s="298"/>
      <c r="W63" s="298"/>
      <c r="X63" s="298"/>
    </row>
    <row r="64" spans="1:24" s="21" customFormat="1" x14ac:dyDescent="0.25">
      <c r="A64" s="22"/>
      <c r="B64" s="22"/>
      <c r="F64" s="33"/>
      <c r="G64" s="34"/>
      <c r="H64" s="35"/>
      <c r="M64"/>
      <c r="N64"/>
      <c r="O64"/>
      <c r="P64"/>
      <c r="Q64"/>
      <c r="R64"/>
      <c r="S64"/>
      <c r="T64"/>
      <c r="U64"/>
      <c r="V64"/>
      <c r="W64"/>
      <c r="X64"/>
    </row>
    <row r="65" spans="1:24" s="21" customFormat="1" ht="12.75" customHeight="1" x14ac:dyDescent="0.25">
      <c r="A65" s="246" t="s">
        <v>198</v>
      </c>
      <c r="B65" s="246"/>
      <c r="C65" s="247"/>
      <c r="D65" s="247"/>
      <c r="E65" s="247"/>
      <c r="F65" s="247"/>
      <c r="G65" s="247"/>
      <c r="H65" s="247"/>
      <c r="I65" s="247"/>
      <c r="J65" s="247"/>
      <c r="K65" s="247"/>
      <c r="L65" s="247"/>
      <c r="M65" s="247"/>
      <c r="N65" s="247"/>
      <c r="O65" s="247"/>
      <c r="P65" s="247"/>
      <c r="Q65" s="247"/>
      <c r="R65" s="247"/>
      <c r="S65" s="247"/>
      <c r="T65" s="247"/>
      <c r="U65" s="247"/>
      <c r="V65" s="247"/>
      <c r="W65" s="247"/>
      <c r="X65" s="247"/>
    </row>
    <row r="66" spans="1:24" s="21" customFormat="1" x14ac:dyDescent="0.25">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5">
      <c r="A67" s="242" t="s">
        <v>199</v>
      </c>
      <c r="B67" s="242"/>
      <c r="C67" s="243"/>
      <c r="D67" s="243"/>
      <c r="E67" s="243"/>
      <c r="F67" s="243"/>
      <c r="G67" s="243"/>
      <c r="H67" s="243"/>
      <c r="I67" s="243"/>
      <c r="J67" s="243"/>
      <c r="K67" s="243"/>
      <c r="L67" s="243"/>
      <c r="M67" s="243"/>
      <c r="N67" s="243"/>
      <c r="O67" s="243"/>
      <c r="P67" s="243"/>
      <c r="Q67" s="243"/>
      <c r="R67" s="243"/>
      <c r="S67" s="243"/>
      <c r="T67" s="243"/>
      <c r="U67" s="243"/>
      <c r="V67" s="243"/>
      <c r="W67" s="243"/>
      <c r="X67" s="243"/>
    </row>
    <row r="68" spans="1:24" s="21" customFormat="1" x14ac:dyDescent="0.25">
      <c r="A68" s="242" t="s">
        <v>200</v>
      </c>
      <c r="B68" s="242"/>
      <c r="C68" s="243"/>
      <c r="D68" s="243"/>
      <c r="E68" s="243"/>
      <c r="F68" s="243"/>
      <c r="G68" s="243"/>
      <c r="H68" s="243"/>
      <c r="I68" s="243"/>
      <c r="J68" s="243"/>
      <c r="K68" s="243"/>
      <c r="L68" s="243"/>
      <c r="M68" s="243"/>
      <c r="N68" s="243"/>
      <c r="O68" s="243"/>
      <c r="P68" s="243"/>
      <c r="Q68" s="243"/>
      <c r="R68" s="243"/>
      <c r="S68" s="243"/>
      <c r="T68" s="243"/>
      <c r="U68" s="243"/>
      <c r="V68" s="243"/>
      <c r="W68" s="243"/>
      <c r="X68" s="243"/>
    </row>
    <row r="69" spans="1:24" s="21" customFormat="1" ht="12.75" customHeight="1" x14ac:dyDescent="0.25">
      <c r="A69" s="242" t="s">
        <v>201</v>
      </c>
      <c r="B69" s="242"/>
      <c r="C69" s="243"/>
      <c r="D69" s="243"/>
      <c r="E69" s="243"/>
      <c r="F69" s="243"/>
      <c r="G69" s="243"/>
      <c r="H69" s="243"/>
      <c r="I69" s="243"/>
      <c r="J69" s="243"/>
      <c r="K69" s="243"/>
      <c r="L69" s="243"/>
      <c r="M69" s="243"/>
      <c r="N69" s="243"/>
      <c r="O69" s="243"/>
      <c r="P69" s="243"/>
      <c r="Q69" s="243"/>
      <c r="R69" s="243"/>
      <c r="S69" s="243"/>
      <c r="T69" s="243"/>
      <c r="U69" s="243"/>
      <c r="V69" s="243"/>
      <c r="W69" s="243"/>
      <c r="X69" s="243"/>
    </row>
    <row r="70" spans="1:24" s="21" customFormat="1" ht="12.75" customHeight="1" x14ac:dyDescent="0.25">
      <c r="A70" s="242" t="s">
        <v>202</v>
      </c>
      <c r="B70" s="242"/>
      <c r="C70" s="243"/>
      <c r="D70" s="243"/>
      <c r="E70" s="243"/>
      <c r="F70" s="243"/>
      <c r="G70" s="243"/>
      <c r="H70" s="243"/>
      <c r="I70" s="243"/>
      <c r="J70" s="243"/>
      <c r="K70" s="243"/>
      <c r="L70" s="243"/>
      <c r="M70" s="243"/>
      <c r="N70" s="243"/>
      <c r="O70" s="243"/>
      <c r="P70" s="243"/>
      <c r="Q70" s="243"/>
      <c r="R70" s="243"/>
      <c r="S70" s="243"/>
      <c r="T70" s="243"/>
      <c r="U70" s="243"/>
      <c r="V70" s="243"/>
      <c r="W70" s="243"/>
      <c r="X70" s="243"/>
    </row>
    <row r="71" spans="1:24" s="21" customFormat="1" ht="12.75" customHeight="1" x14ac:dyDescent="0.25">
      <c r="A71" s="242" t="s">
        <v>203</v>
      </c>
      <c r="B71" s="242"/>
      <c r="C71" s="243"/>
      <c r="D71" s="243"/>
      <c r="E71" s="243"/>
      <c r="F71" s="243"/>
      <c r="G71" s="243"/>
      <c r="H71" s="243"/>
      <c r="I71" s="243"/>
      <c r="J71" s="243"/>
      <c r="K71" s="243"/>
      <c r="L71" s="243"/>
      <c r="M71" s="243"/>
      <c r="N71" s="243"/>
      <c r="O71" s="243"/>
      <c r="P71" s="243"/>
      <c r="Q71" s="243"/>
      <c r="R71" s="243"/>
      <c r="S71" s="243"/>
      <c r="T71" s="243"/>
      <c r="U71" s="243"/>
      <c r="V71" s="243"/>
      <c r="W71" s="243"/>
      <c r="X71" s="243"/>
    </row>
    <row r="72" spans="1:24" s="21" customFormat="1" ht="12.75" customHeight="1" x14ac:dyDescent="0.25">
      <c r="A72" s="242" t="s">
        <v>204</v>
      </c>
      <c r="B72" s="242"/>
      <c r="C72" s="243"/>
      <c r="D72" s="243"/>
      <c r="E72" s="243"/>
      <c r="F72" s="243"/>
      <c r="G72" s="243"/>
      <c r="H72" s="243"/>
      <c r="I72" s="243"/>
      <c r="J72" s="243"/>
      <c r="K72" s="243"/>
      <c r="L72" s="243"/>
      <c r="M72" s="243"/>
      <c r="N72" s="243"/>
      <c r="O72" s="243"/>
      <c r="P72" s="243"/>
      <c r="Q72" s="243"/>
      <c r="R72" s="243"/>
      <c r="S72" s="243"/>
      <c r="T72" s="243"/>
      <c r="U72" s="243"/>
      <c r="V72" s="243"/>
      <c r="W72" s="243"/>
      <c r="X72" s="243"/>
    </row>
    <row r="73" spans="1:24" s="21" customFormat="1" x14ac:dyDescent="0.25">
      <c r="A73" s="22"/>
      <c r="B73" s="22"/>
      <c r="F73" s="33"/>
      <c r="G73" s="34"/>
      <c r="H73" s="35"/>
    </row>
    <row r="74" spans="1:24" s="21" customFormat="1" ht="12.75" customHeight="1" x14ac:dyDescent="0.25">
      <c r="A74" s="246" t="s">
        <v>205</v>
      </c>
      <c r="B74" s="246"/>
      <c r="C74" s="247"/>
      <c r="D74" s="247"/>
      <c r="E74" s="247"/>
      <c r="F74" s="247"/>
      <c r="G74" s="247"/>
      <c r="H74" s="247"/>
      <c r="I74" s="247"/>
      <c r="J74" s="247"/>
      <c r="K74" s="247"/>
      <c r="L74" s="247"/>
      <c r="M74" s="247"/>
      <c r="N74" s="247"/>
      <c r="O74" s="247"/>
      <c r="P74" s="247"/>
      <c r="Q74" s="247"/>
      <c r="R74" s="247"/>
      <c r="S74" s="247"/>
      <c r="T74" s="247"/>
      <c r="U74" s="247"/>
      <c r="V74" s="247"/>
      <c r="W74" s="247"/>
      <c r="X74" s="247"/>
    </row>
    <row r="75" spans="1:24" s="21" customFormat="1" x14ac:dyDescent="0.25">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5">
      <c r="A76" s="242" t="s">
        <v>206</v>
      </c>
      <c r="B76" s="242"/>
      <c r="C76" s="243"/>
      <c r="D76" s="243"/>
      <c r="E76" s="243"/>
      <c r="F76" s="243"/>
      <c r="G76" s="243"/>
      <c r="H76" s="243"/>
      <c r="I76" s="243"/>
      <c r="J76" s="243"/>
      <c r="K76" s="243"/>
      <c r="L76" s="243"/>
      <c r="M76" s="243"/>
      <c r="N76" s="243"/>
      <c r="O76" s="243"/>
      <c r="P76" s="243"/>
      <c r="Q76" s="243"/>
      <c r="R76" s="243"/>
      <c r="S76" s="243"/>
      <c r="T76" s="243"/>
      <c r="U76" s="243"/>
      <c r="V76" s="243"/>
      <c r="W76" s="243"/>
      <c r="X76" s="243"/>
    </row>
    <row r="77" spans="1:24" s="21" customFormat="1" ht="26.1" customHeight="1" x14ac:dyDescent="0.25">
      <c r="A77" s="238" t="s">
        <v>207</v>
      </c>
      <c r="B77" s="238"/>
      <c r="C77" s="239"/>
      <c r="D77" s="239"/>
      <c r="E77" s="239"/>
      <c r="F77" s="239"/>
      <c r="G77" s="239"/>
      <c r="H77" s="239"/>
      <c r="I77" s="239"/>
      <c r="J77" s="239"/>
      <c r="K77" s="239"/>
      <c r="L77" s="239"/>
      <c r="M77" s="239"/>
      <c r="N77" s="239"/>
      <c r="O77" s="239"/>
      <c r="P77" s="239"/>
      <c r="Q77" s="239"/>
      <c r="R77" s="239"/>
      <c r="S77" s="239"/>
      <c r="T77" s="239"/>
      <c r="U77" s="239"/>
      <c r="V77" s="239"/>
      <c r="W77" s="239"/>
      <c r="X77" s="239"/>
    </row>
    <row r="78" spans="1:24" s="21" customFormat="1" ht="12.75" customHeight="1" x14ac:dyDescent="0.25">
      <c r="A78" s="242" t="s">
        <v>208</v>
      </c>
      <c r="B78" s="242"/>
      <c r="C78" s="243"/>
      <c r="D78" s="243"/>
      <c r="E78" s="243"/>
      <c r="F78" s="243"/>
      <c r="G78" s="243"/>
      <c r="H78" s="243"/>
      <c r="I78" s="243"/>
      <c r="J78" s="243"/>
      <c r="K78" s="243"/>
      <c r="L78" s="243"/>
      <c r="M78" s="243"/>
      <c r="N78" s="243"/>
      <c r="O78" s="243"/>
      <c r="P78" s="243"/>
      <c r="Q78" s="243"/>
      <c r="R78" s="243"/>
      <c r="S78" s="243"/>
      <c r="T78" s="243"/>
      <c r="U78" s="243"/>
      <c r="V78" s="243"/>
      <c r="W78" s="243"/>
      <c r="X78" s="243"/>
    </row>
    <row r="79" spans="1:24" s="21" customFormat="1" ht="25.5" customHeight="1" x14ac:dyDescent="0.25">
      <c r="A79" s="242" t="s">
        <v>209</v>
      </c>
      <c r="B79" s="242"/>
      <c r="C79" s="243"/>
      <c r="D79" s="243"/>
      <c r="E79" s="243"/>
      <c r="F79" s="243"/>
      <c r="G79" s="243"/>
      <c r="H79" s="243"/>
      <c r="I79" s="243"/>
      <c r="J79" s="243"/>
      <c r="K79" s="243"/>
      <c r="L79" s="243"/>
      <c r="M79" s="243"/>
      <c r="N79" s="243"/>
      <c r="O79" s="243"/>
      <c r="P79" s="243"/>
      <c r="Q79" s="243"/>
      <c r="R79" s="243"/>
      <c r="S79" s="243"/>
      <c r="T79" s="243"/>
      <c r="U79" s="243"/>
      <c r="V79" s="243"/>
      <c r="W79" s="243"/>
      <c r="X79" s="243"/>
    </row>
    <row r="80" spans="1:24" s="21" customFormat="1" x14ac:dyDescent="0.25">
      <c r="A80" s="238" t="s">
        <v>210</v>
      </c>
      <c r="B80" s="238"/>
      <c r="C80" s="239"/>
      <c r="D80" s="239"/>
      <c r="E80" s="239"/>
      <c r="F80" s="239"/>
      <c r="G80" s="239"/>
      <c r="H80" s="239"/>
      <c r="I80" s="239"/>
      <c r="J80" s="239"/>
      <c r="K80" s="239"/>
      <c r="L80" s="239"/>
      <c r="M80" s="239"/>
      <c r="N80" s="239"/>
      <c r="O80" s="239"/>
      <c r="P80" s="239"/>
      <c r="Q80" s="239"/>
      <c r="R80" s="239"/>
      <c r="S80" s="239"/>
      <c r="T80" s="239"/>
      <c r="U80" s="239"/>
      <c r="V80" s="239"/>
      <c r="W80" s="239"/>
      <c r="X80" s="239"/>
    </row>
    <row r="81" spans="1:24" ht="12.75" customHeight="1" x14ac:dyDescent="0.25">
      <c r="A81" s="242" t="s">
        <v>211</v>
      </c>
      <c r="B81" s="242"/>
      <c r="C81" s="243"/>
      <c r="D81" s="243"/>
      <c r="E81" s="243"/>
      <c r="F81" s="243"/>
      <c r="G81" s="243"/>
      <c r="H81" s="243"/>
      <c r="I81" s="243"/>
      <c r="J81" s="243"/>
      <c r="K81" s="243"/>
      <c r="L81" s="243"/>
      <c r="M81" s="243"/>
      <c r="N81" s="243"/>
      <c r="O81" s="243"/>
      <c r="P81" s="243"/>
      <c r="Q81" s="243"/>
      <c r="R81" s="243"/>
      <c r="S81" s="243"/>
      <c r="T81" s="243"/>
      <c r="U81" s="243"/>
      <c r="V81" s="243"/>
      <c r="W81" s="243"/>
      <c r="X81" s="243"/>
    </row>
    <row r="82" spans="1:24" ht="26.1" customHeight="1" x14ac:dyDescent="0.25">
      <c r="A82" s="242" t="s">
        <v>212</v>
      </c>
      <c r="B82" s="242"/>
      <c r="C82" s="243"/>
      <c r="D82" s="243"/>
      <c r="E82" s="243"/>
      <c r="F82" s="243"/>
      <c r="G82" s="243"/>
      <c r="H82" s="243"/>
      <c r="I82" s="243"/>
      <c r="J82" s="243"/>
      <c r="K82" s="243"/>
      <c r="L82" s="243"/>
      <c r="M82" s="243"/>
      <c r="N82" s="243"/>
      <c r="O82" s="243"/>
      <c r="P82" s="243"/>
      <c r="Q82" s="243"/>
      <c r="R82" s="243"/>
      <c r="S82" s="243"/>
      <c r="T82" s="243"/>
      <c r="U82" s="243"/>
      <c r="V82" s="243"/>
      <c r="W82" s="243"/>
      <c r="X82" s="243"/>
    </row>
    <row r="83" spans="1:24" s="21" customFormat="1" ht="26.1" customHeight="1" x14ac:dyDescent="0.25">
      <c r="A83" s="242" t="s">
        <v>213</v>
      </c>
      <c r="B83" s="242"/>
      <c r="C83" s="243"/>
      <c r="D83" s="243"/>
      <c r="E83" s="243"/>
      <c r="F83" s="243"/>
      <c r="G83" s="243"/>
      <c r="H83" s="243"/>
      <c r="I83" s="243"/>
      <c r="J83" s="243"/>
      <c r="K83" s="243"/>
      <c r="L83" s="243"/>
      <c r="M83" s="243"/>
      <c r="N83" s="243"/>
      <c r="O83" s="243"/>
      <c r="P83" s="243"/>
      <c r="Q83" s="243"/>
      <c r="R83" s="243"/>
      <c r="S83" s="243"/>
      <c r="T83" s="243"/>
      <c r="U83" s="243"/>
      <c r="V83" s="243"/>
      <c r="W83" s="243"/>
      <c r="X83" s="243"/>
    </row>
    <row r="84" spans="1:24" s="21" customFormat="1" ht="12.75" customHeight="1" x14ac:dyDescent="0.25">
      <c r="A84" s="242" t="s">
        <v>214</v>
      </c>
      <c r="B84" s="242"/>
      <c r="C84" s="243"/>
      <c r="D84" s="243"/>
      <c r="E84" s="243"/>
      <c r="F84" s="243"/>
      <c r="G84" s="243"/>
      <c r="H84" s="243"/>
      <c r="I84" s="243"/>
      <c r="J84" s="243"/>
      <c r="K84" s="243"/>
      <c r="L84" s="243"/>
      <c r="M84" s="243"/>
      <c r="N84" s="243"/>
      <c r="O84" s="243"/>
      <c r="P84" s="243"/>
      <c r="Q84" s="243"/>
      <c r="R84" s="243"/>
      <c r="S84" s="243"/>
      <c r="T84" s="243"/>
      <c r="U84" s="243"/>
      <c r="V84" s="243"/>
      <c r="W84" s="243"/>
      <c r="X84" s="243"/>
    </row>
    <row r="85" spans="1:24" s="21" customFormat="1" x14ac:dyDescent="0.25">
      <c r="A85" s="242" t="s">
        <v>215</v>
      </c>
      <c r="B85" s="242"/>
      <c r="C85" s="243"/>
      <c r="D85" s="243"/>
      <c r="E85" s="243"/>
      <c r="F85" s="243"/>
      <c r="G85" s="243"/>
      <c r="H85" s="243"/>
      <c r="I85" s="243"/>
      <c r="J85" s="243"/>
      <c r="K85" s="243"/>
      <c r="L85" s="243"/>
      <c r="M85" s="243"/>
      <c r="N85" s="243"/>
      <c r="O85" s="243"/>
      <c r="P85" s="243"/>
      <c r="Q85" s="243"/>
      <c r="R85" s="243"/>
      <c r="S85" s="243"/>
      <c r="T85" s="243"/>
      <c r="U85" s="243"/>
      <c r="V85" s="243"/>
      <c r="W85" s="243"/>
      <c r="X85" s="243"/>
    </row>
    <row r="86" spans="1:24" ht="12.75" customHeight="1" x14ac:dyDescent="0.25">
      <c r="A86" s="238" t="s">
        <v>216</v>
      </c>
      <c r="B86" s="238"/>
      <c r="C86" s="239"/>
      <c r="D86" s="239"/>
      <c r="E86" s="239"/>
      <c r="F86" s="239"/>
      <c r="G86" s="239"/>
      <c r="H86" s="239"/>
      <c r="I86" s="239"/>
      <c r="J86" s="239"/>
      <c r="K86" s="239"/>
      <c r="L86" s="239"/>
      <c r="M86" s="239"/>
      <c r="N86" s="239"/>
      <c r="O86" s="239"/>
      <c r="P86" s="239"/>
      <c r="Q86" s="239"/>
      <c r="R86" s="239"/>
      <c r="S86" s="239"/>
      <c r="T86" s="239"/>
      <c r="U86" s="239"/>
      <c r="V86" s="239"/>
      <c r="W86" s="239"/>
      <c r="X86" s="239"/>
    </row>
    <row r="87" spans="1:24" x14ac:dyDescent="0.25">
      <c r="A87" s="242" t="s">
        <v>217</v>
      </c>
      <c r="B87" s="242"/>
      <c r="C87" s="243"/>
      <c r="D87" s="243"/>
      <c r="E87" s="243"/>
      <c r="F87" s="243"/>
      <c r="G87" s="243"/>
      <c r="H87" s="243"/>
      <c r="I87" s="243"/>
      <c r="J87" s="243"/>
      <c r="K87" s="243"/>
      <c r="L87" s="243"/>
      <c r="M87" s="243"/>
      <c r="N87" s="243"/>
      <c r="O87" s="243"/>
      <c r="P87" s="243"/>
      <c r="Q87" s="243"/>
      <c r="R87" s="243"/>
      <c r="S87" s="243"/>
      <c r="T87" s="243"/>
      <c r="U87" s="243"/>
      <c r="V87" s="243"/>
      <c r="W87" s="243"/>
      <c r="X87" s="243"/>
    </row>
    <row r="88" spans="1:24" x14ac:dyDescent="0.25">
      <c r="A88" s="242" t="s">
        <v>218</v>
      </c>
      <c r="B88" s="242"/>
      <c r="C88" s="243"/>
      <c r="D88" s="243"/>
      <c r="E88" s="243"/>
      <c r="F88" s="243"/>
      <c r="G88" s="243"/>
      <c r="H88" s="243"/>
      <c r="I88" s="243"/>
      <c r="J88" s="243"/>
      <c r="K88" s="243"/>
      <c r="L88" s="243"/>
      <c r="M88" s="243"/>
      <c r="N88" s="243"/>
      <c r="O88" s="243"/>
      <c r="P88" s="243"/>
      <c r="Q88" s="243"/>
      <c r="R88" s="243"/>
      <c r="S88" s="243"/>
      <c r="T88" s="243"/>
      <c r="U88" s="243"/>
      <c r="V88" s="243"/>
      <c r="W88" s="243"/>
      <c r="X88" s="243"/>
    </row>
    <row r="90" spans="1:24" x14ac:dyDescent="0.25">
      <c r="A90" s="246" t="s">
        <v>219</v>
      </c>
      <c r="B90" s="246"/>
      <c r="C90" s="247"/>
      <c r="D90" s="247"/>
      <c r="E90" s="247"/>
      <c r="F90" s="247"/>
      <c r="G90" s="247"/>
      <c r="H90" s="247"/>
      <c r="I90" s="247"/>
      <c r="J90" s="247"/>
      <c r="K90" s="247"/>
      <c r="L90" s="247"/>
      <c r="M90" s="247"/>
      <c r="N90" s="247"/>
      <c r="O90" s="247"/>
      <c r="P90" s="247"/>
      <c r="Q90" s="247"/>
      <c r="R90" s="247"/>
      <c r="S90" s="247"/>
      <c r="T90" s="247"/>
      <c r="U90" s="247"/>
      <c r="V90" s="247"/>
      <c r="W90" s="247"/>
      <c r="X90" s="247"/>
    </row>
    <row r="91" spans="1:24" x14ac:dyDescent="0.25">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5">
      <c r="A92" s="242" t="s">
        <v>220</v>
      </c>
      <c r="B92" s="242"/>
      <c r="C92" s="243"/>
      <c r="D92" s="243"/>
      <c r="E92" s="243"/>
      <c r="F92" s="243"/>
      <c r="G92" s="243"/>
      <c r="H92" s="243"/>
      <c r="I92" s="243"/>
      <c r="J92" s="243"/>
      <c r="K92" s="243"/>
      <c r="L92" s="243"/>
      <c r="M92" s="243"/>
      <c r="N92" s="243"/>
      <c r="O92" s="243"/>
      <c r="P92" s="243"/>
      <c r="Q92" s="243"/>
      <c r="R92" s="243"/>
      <c r="S92" s="243"/>
      <c r="T92" s="243"/>
      <c r="U92" s="243"/>
      <c r="V92" s="243"/>
      <c r="W92" s="243"/>
      <c r="X92" s="243"/>
    </row>
    <row r="93" spans="1:24" ht="12.75" customHeight="1" x14ac:dyDescent="0.25">
      <c r="A93" s="238" t="s">
        <v>221</v>
      </c>
      <c r="B93" s="238"/>
      <c r="C93" s="239"/>
      <c r="D93" s="239"/>
      <c r="E93" s="239"/>
      <c r="F93" s="239"/>
      <c r="G93" s="239"/>
      <c r="H93" s="239"/>
      <c r="I93" s="239"/>
      <c r="J93" s="239"/>
      <c r="K93" s="239"/>
      <c r="L93" s="239"/>
      <c r="M93" s="239"/>
      <c r="N93" s="239"/>
      <c r="O93" s="239"/>
      <c r="P93" s="239"/>
      <c r="Q93" s="239"/>
      <c r="R93" s="239"/>
      <c r="S93" s="239"/>
      <c r="T93" s="239"/>
      <c r="U93" s="239"/>
      <c r="V93" s="239"/>
      <c r="W93" s="239"/>
      <c r="X93" s="239"/>
    </row>
    <row r="94" spans="1:24" ht="12.75" customHeight="1" x14ac:dyDescent="0.25">
      <c r="A94" s="242" t="s">
        <v>222</v>
      </c>
      <c r="B94" s="242"/>
      <c r="C94" s="243"/>
      <c r="D94" s="243"/>
      <c r="E94" s="243"/>
      <c r="F94" s="243"/>
      <c r="G94" s="243"/>
      <c r="H94" s="243"/>
      <c r="I94" s="243"/>
      <c r="J94" s="243"/>
      <c r="K94" s="243"/>
      <c r="L94" s="243"/>
      <c r="M94" s="243"/>
      <c r="N94" s="243"/>
      <c r="O94" s="243"/>
      <c r="P94" s="243"/>
      <c r="Q94" s="243"/>
      <c r="R94" s="243"/>
      <c r="S94" s="243"/>
      <c r="T94" s="243"/>
      <c r="U94" s="243"/>
      <c r="V94" s="243"/>
      <c r="W94" s="243"/>
      <c r="X94" s="243"/>
    </row>
    <row r="95" spans="1:24" x14ac:dyDescent="0.25">
      <c r="A95" s="242" t="s">
        <v>223</v>
      </c>
      <c r="B95" s="242"/>
      <c r="C95" s="243"/>
      <c r="D95" s="243"/>
      <c r="E95" s="243"/>
      <c r="F95" s="243"/>
      <c r="G95" s="243"/>
      <c r="H95" s="243"/>
      <c r="I95" s="243"/>
      <c r="J95" s="243"/>
      <c r="K95" s="243"/>
      <c r="L95" s="243"/>
      <c r="M95" s="243"/>
      <c r="N95" s="243"/>
      <c r="O95" s="243"/>
      <c r="P95" s="243"/>
      <c r="Q95" s="243"/>
      <c r="R95" s="243"/>
      <c r="S95" s="243"/>
      <c r="T95" s="243"/>
      <c r="U95" s="243"/>
      <c r="V95" s="243"/>
      <c r="W95" s="243"/>
      <c r="X95" s="243"/>
    </row>
    <row r="96" spans="1:24" ht="12.75" customHeight="1" x14ac:dyDescent="0.25">
      <c r="A96" s="238"/>
      <c r="B96" s="238"/>
      <c r="C96" s="239"/>
      <c r="D96" s="239"/>
      <c r="E96" s="239"/>
      <c r="F96" s="239"/>
      <c r="G96" s="239"/>
      <c r="H96" s="239"/>
      <c r="I96" s="239"/>
      <c r="J96" s="239"/>
      <c r="K96" s="239"/>
      <c r="L96" s="239"/>
      <c r="M96" s="239"/>
      <c r="N96" s="239"/>
      <c r="O96" s="239"/>
      <c r="P96" s="239"/>
      <c r="Q96" s="239"/>
      <c r="R96" s="239"/>
      <c r="S96" s="239"/>
      <c r="T96" s="239"/>
      <c r="U96" s="239"/>
      <c r="V96" s="239"/>
      <c r="W96" s="239"/>
      <c r="X96" s="239"/>
    </row>
    <row r="97" spans="1:24" x14ac:dyDescent="0.25">
      <c r="A97" s="246" t="s">
        <v>224</v>
      </c>
      <c r="B97" s="246"/>
      <c r="C97" s="247"/>
      <c r="D97" s="247"/>
      <c r="E97" s="247"/>
      <c r="F97" s="247"/>
      <c r="G97" s="247"/>
      <c r="H97" s="247"/>
      <c r="I97" s="247"/>
      <c r="J97" s="247"/>
      <c r="K97" s="247"/>
      <c r="L97" s="247"/>
      <c r="M97" s="247"/>
      <c r="N97" s="247"/>
      <c r="O97" s="247"/>
      <c r="P97" s="247"/>
      <c r="Q97" s="247"/>
      <c r="R97" s="247"/>
      <c r="S97" s="247"/>
      <c r="T97" s="247"/>
      <c r="U97" s="247"/>
      <c r="V97" s="247"/>
      <c r="W97" s="247"/>
      <c r="X97" s="247"/>
    </row>
    <row r="98" spans="1:24" ht="12.75" customHeight="1" x14ac:dyDescent="0.25">
      <c r="A98" s="238"/>
      <c r="B98" s="238"/>
      <c r="C98" s="239"/>
      <c r="D98" s="239"/>
      <c r="E98" s="239"/>
      <c r="F98" s="239"/>
      <c r="G98" s="239"/>
      <c r="H98" s="239"/>
      <c r="I98" s="239"/>
      <c r="J98" s="239"/>
      <c r="K98" s="239"/>
      <c r="L98" s="239"/>
      <c r="M98" s="239"/>
      <c r="N98" s="239"/>
      <c r="O98" s="239"/>
      <c r="P98" s="239"/>
      <c r="Q98" s="239"/>
      <c r="R98" s="239"/>
      <c r="S98" s="239"/>
      <c r="T98" s="239"/>
      <c r="U98" s="239"/>
      <c r="V98" s="239"/>
      <c r="W98" s="239"/>
      <c r="X98" s="239"/>
    </row>
    <row r="99" spans="1:24" ht="12.75" customHeight="1" x14ac:dyDescent="0.25">
      <c r="A99" s="242" t="s">
        <v>225</v>
      </c>
      <c r="B99" s="242"/>
      <c r="C99" s="243"/>
      <c r="D99" s="243"/>
      <c r="E99" s="243"/>
      <c r="F99" s="243"/>
      <c r="G99" s="243"/>
      <c r="H99" s="243"/>
      <c r="I99" s="243"/>
      <c r="J99" s="243"/>
      <c r="K99" s="243"/>
      <c r="L99" s="243"/>
      <c r="M99" s="243"/>
      <c r="N99" s="243"/>
      <c r="O99" s="243"/>
      <c r="P99" s="243"/>
      <c r="Q99" s="243"/>
      <c r="R99" s="243"/>
      <c r="S99" s="243"/>
      <c r="T99" s="243"/>
      <c r="U99" s="243"/>
      <c r="V99" s="243"/>
      <c r="W99" s="243"/>
      <c r="X99" s="243"/>
    </row>
    <row r="100" spans="1:24" ht="12.75" customHeight="1" x14ac:dyDescent="0.25">
      <c r="A100" s="242" t="s">
        <v>226</v>
      </c>
      <c r="B100" s="242"/>
      <c r="C100" s="243"/>
      <c r="D100" s="243"/>
      <c r="E100" s="243"/>
      <c r="F100" s="243"/>
      <c r="G100" s="243"/>
      <c r="H100" s="243"/>
      <c r="I100" s="243"/>
      <c r="J100" s="243"/>
      <c r="K100" s="243"/>
      <c r="L100" s="243"/>
      <c r="M100" s="243"/>
      <c r="N100" s="243"/>
      <c r="O100" s="243"/>
      <c r="P100" s="243"/>
      <c r="Q100" s="243"/>
      <c r="R100" s="243"/>
      <c r="S100" s="243"/>
      <c r="T100" s="243"/>
      <c r="U100" s="243"/>
      <c r="V100" s="243"/>
      <c r="W100" s="243"/>
      <c r="X100" s="243"/>
    </row>
    <row r="101" spans="1:24" x14ac:dyDescent="0.25">
      <c r="A101" s="242" t="s">
        <v>227</v>
      </c>
      <c r="B101" s="242"/>
      <c r="C101" s="243"/>
      <c r="D101" s="243"/>
      <c r="E101" s="243"/>
      <c r="F101" s="243"/>
      <c r="G101" s="243"/>
      <c r="H101" s="243"/>
      <c r="I101" s="243"/>
      <c r="J101" s="243"/>
      <c r="K101" s="243"/>
      <c r="L101" s="243"/>
      <c r="M101" s="243"/>
      <c r="N101" s="243"/>
      <c r="O101" s="243"/>
      <c r="P101" s="243"/>
      <c r="Q101" s="243"/>
      <c r="R101" s="243"/>
      <c r="S101" s="243"/>
      <c r="T101" s="243"/>
      <c r="U101" s="243"/>
      <c r="V101" s="243"/>
      <c r="W101" s="243"/>
      <c r="X101" s="243"/>
    </row>
    <row r="102" spans="1:24" ht="12.75" customHeight="1" x14ac:dyDescent="0.25">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5">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5">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5">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5"/>
    <row r="107" spans="1:24" x14ac:dyDescent="0.25">
      <c r="A107"/>
      <c r="E107"/>
      <c r="F107"/>
      <c r="H107" s="38"/>
      <c r="L107" s="82" t="s">
        <v>131</v>
      </c>
      <c r="O107" s="82"/>
      <c r="P107" s="38"/>
      <c r="Q107" s="82"/>
    </row>
    <row r="108" spans="1:24" ht="12.75" customHeight="1" x14ac:dyDescent="0.25">
      <c r="A108"/>
      <c r="E108"/>
      <c r="F108"/>
      <c r="G108" s="31"/>
      <c r="H108" s="31"/>
      <c r="L108" s="82" t="s">
        <v>132</v>
      </c>
      <c r="P108" s="31"/>
      <c r="S108" s="208">
        <f ca="1">T38</f>
        <v>0.23</v>
      </c>
    </row>
    <row r="109" spans="1:24" x14ac:dyDescent="0.25">
      <c r="A109"/>
      <c r="E109"/>
      <c r="F109"/>
      <c r="G109" s="31"/>
      <c r="H109" s="31"/>
      <c r="L109" s="82" t="s">
        <v>133</v>
      </c>
      <c r="P109" s="31"/>
      <c r="S109" s="208">
        <f ca="1">U38</f>
        <v>0.1988</v>
      </c>
    </row>
    <row r="110" spans="1:24" ht="12.75" customHeight="1" x14ac:dyDescent="0.25">
      <c r="A110"/>
      <c r="E110"/>
      <c r="F110"/>
      <c r="G110" s="31"/>
      <c r="H110" s="31"/>
      <c r="L110" s="82" t="s">
        <v>134</v>
      </c>
      <c r="P110" s="31"/>
      <c r="S110" s="208" t="str">
        <f ca="1">V38</f>
        <v/>
      </c>
    </row>
    <row r="111" spans="1:24" x14ac:dyDescent="0.25">
      <c r="A111"/>
      <c r="E111"/>
      <c r="F111"/>
      <c r="G111" s="31"/>
      <c r="H111" s="31"/>
      <c r="L111" s="82" t="s">
        <v>135</v>
      </c>
      <c r="P111" s="31"/>
      <c r="S111" s="208" t="str">
        <f ca="1">W38</f>
        <v/>
      </c>
    </row>
    <row r="112" spans="1:24" ht="12.75" customHeight="1" x14ac:dyDescent="0.25">
      <c r="A112"/>
      <c r="E112"/>
      <c r="F112"/>
      <c r="G112" s="31"/>
      <c r="H112" s="31"/>
      <c r="L112" s="82" t="s">
        <v>136</v>
      </c>
      <c r="P112" s="31"/>
      <c r="S112" s="208" t="str">
        <f ca="1">X38</f>
        <v/>
      </c>
    </row>
    <row r="113" spans="1:16" x14ac:dyDescent="0.25">
      <c r="A113"/>
      <c r="H113" s="38"/>
      <c r="L113" s="82" t="s">
        <v>66</v>
      </c>
    </row>
    <row r="114" spans="1:16" ht="12.75" customHeight="1" x14ac:dyDescent="0.25">
      <c r="A114"/>
      <c r="H114" s="38"/>
      <c r="L114" s="82" t="s">
        <v>67</v>
      </c>
    </row>
    <row r="115" spans="1:16" x14ac:dyDescent="0.25">
      <c r="A115"/>
      <c r="H115" s="38"/>
      <c r="L115" s="82" t="s">
        <v>68</v>
      </c>
      <c r="P115" s="1" t="s">
        <v>112</v>
      </c>
    </row>
    <row r="116" spans="1:16" x14ac:dyDescent="0.25">
      <c r="A116"/>
      <c r="H116" s="38"/>
      <c r="L116" s="82" t="s">
        <v>69</v>
      </c>
      <c r="P116" s="1" t="s">
        <v>113</v>
      </c>
    </row>
    <row r="117" spans="1:16" x14ac:dyDescent="0.25">
      <c r="A117"/>
      <c r="L117" s="82" t="s">
        <v>70</v>
      </c>
      <c r="P117" s="1" t="s">
        <v>114</v>
      </c>
    </row>
    <row r="118" spans="1:16" x14ac:dyDescent="0.25">
      <c r="A118"/>
      <c r="L118" s="82" t="s">
        <v>71</v>
      </c>
      <c r="P118" s="1" t="s">
        <v>94</v>
      </c>
    </row>
    <row r="119" spans="1:16" x14ac:dyDescent="0.25">
      <c r="A119"/>
      <c r="L119" s="82" t="s">
        <v>72</v>
      </c>
      <c r="P119" s="1" t="s">
        <v>95</v>
      </c>
    </row>
    <row r="120" spans="1:16" x14ac:dyDescent="0.25">
      <c r="A120"/>
      <c r="L120" s="82" t="s">
        <v>73</v>
      </c>
      <c r="P120" s="1" t="s">
        <v>96</v>
      </c>
    </row>
    <row r="121" spans="1:16" x14ac:dyDescent="0.25">
      <c r="A121"/>
      <c r="L121" s="82" t="s">
        <v>74</v>
      </c>
    </row>
    <row r="122" spans="1:16" x14ac:dyDescent="0.25">
      <c r="A122"/>
      <c r="L122" s="82" t="s">
        <v>75</v>
      </c>
      <c r="P122" s="94" t="s">
        <v>97</v>
      </c>
    </row>
    <row r="123" spans="1:16" x14ac:dyDescent="0.25">
      <c r="A123"/>
      <c r="L123" s="82" t="s">
        <v>76</v>
      </c>
      <c r="P123" s="94" t="s">
        <v>98</v>
      </c>
    </row>
    <row r="124" spans="1:16" x14ac:dyDescent="0.25">
      <c r="A124"/>
      <c r="L124" s="82" t="s">
        <v>77</v>
      </c>
    </row>
    <row r="125" spans="1:16" x14ac:dyDescent="0.25">
      <c r="A125"/>
      <c r="L125" s="82" t="s">
        <v>78</v>
      </c>
    </row>
    <row r="126" spans="1:16" x14ac:dyDescent="0.25">
      <c r="A126"/>
      <c r="L126" s="82" t="s">
        <v>79</v>
      </c>
    </row>
    <row r="127" spans="1:16" x14ac:dyDescent="0.25">
      <c r="A127"/>
      <c r="L127" s="82" t="s">
        <v>80</v>
      </c>
    </row>
    <row r="128" spans="1:16" x14ac:dyDescent="0.25">
      <c r="A128"/>
      <c r="L128" s="82" t="s">
        <v>81</v>
      </c>
    </row>
    <row r="129" spans="1:12" x14ac:dyDescent="0.25">
      <c r="A129"/>
      <c r="L129" s="82" t="s">
        <v>82</v>
      </c>
    </row>
    <row r="130" spans="1:12" x14ac:dyDescent="0.25">
      <c r="A130"/>
      <c r="L130" s="82" t="s">
        <v>83</v>
      </c>
    </row>
    <row r="131" spans="1:12" x14ac:dyDescent="0.25">
      <c r="A131"/>
      <c r="L131" s="82" t="s">
        <v>84</v>
      </c>
    </row>
    <row r="132" spans="1:12" x14ac:dyDescent="0.25">
      <c r="A132"/>
      <c r="L132" s="82" t="s">
        <v>65</v>
      </c>
    </row>
    <row r="133" spans="1:12" x14ac:dyDescent="0.25">
      <c r="A133"/>
      <c r="L133" s="82" t="s">
        <v>85</v>
      </c>
    </row>
    <row r="134" spans="1:12" x14ac:dyDescent="0.25">
      <c r="A134"/>
      <c r="L134" s="82"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48" t="str">
        <f>A28</f>
        <v>Nº OPERAÇÃO</v>
      </c>
      <c r="B220" s="250"/>
      <c r="C220" s="248" t="str">
        <f>C28</f>
        <v>GESTOR</v>
      </c>
      <c r="D220" s="249"/>
      <c r="E220" s="250"/>
      <c r="F220" s="248" t="str">
        <f>F28</f>
        <v>PROGRAMA</v>
      </c>
      <c r="G220" s="249"/>
      <c r="H220" s="249"/>
      <c r="I220" s="250"/>
      <c r="J220" s="248" t="str">
        <f>J28</f>
        <v>AÇÃO / MODALIDADE</v>
      </c>
      <c r="K220" s="249"/>
      <c r="L220" s="249"/>
      <c r="M220" s="249"/>
      <c r="N220" s="249"/>
      <c r="O220" s="250"/>
      <c r="P220" s="248" t="str">
        <f>P28</f>
        <v>OBJETO</v>
      </c>
      <c r="Q220" s="249"/>
      <c r="R220" s="249"/>
      <c r="S220" s="249"/>
      <c r="T220" s="249"/>
      <c r="U220" s="249"/>
      <c r="V220" s="249"/>
      <c r="W220" s="249"/>
      <c r="X220" s="250"/>
    </row>
    <row r="221" spans="1:24" ht="12.75" customHeight="1" x14ac:dyDescent="0.25">
      <c r="A221" s="283" t="str">
        <f>IF(A29="","",A29)</f>
        <v/>
      </c>
      <c r="B221" s="285"/>
      <c r="C221" s="283" t="str">
        <f>IF(C29="","",C29)</f>
        <v/>
      </c>
      <c r="D221" s="284"/>
      <c r="E221" s="285"/>
      <c r="F221" s="283" t="str">
        <f>IF(F29="","",F29)</f>
        <v/>
      </c>
      <c r="G221" s="284"/>
      <c r="H221" s="284"/>
      <c r="I221" s="285"/>
      <c r="J221" s="283" t="str">
        <f>IF(J29="","",J29)</f>
        <v/>
      </c>
      <c r="K221" s="284"/>
      <c r="L221" s="284" t="e">
        <f>IF(#REF!="","",#REF!)</f>
        <v>#REF!</v>
      </c>
      <c r="M221" s="284"/>
      <c r="N221" s="284" t="e">
        <f>IF(#REF!="","",#REF!)</f>
        <v>#REF!</v>
      </c>
      <c r="O221" s="285"/>
      <c r="P221" s="283" t="str">
        <f>IF(P29="","",P29)</f>
        <v>PAVIMENTAÇÃO EM CBUQ RUA SÍLVIO BERRETTI</v>
      </c>
      <c r="Q221" s="284"/>
      <c r="R221" s="284"/>
      <c r="S221" s="284"/>
      <c r="T221" s="284"/>
      <c r="U221" s="284"/>
      <c r="V221" s="284"/>
      <c r="W221" s="284"/>
      <c r="X221" s="285"/>
    </row>
    <row r="222" spans="1:24" ht="6"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5">
      <c r="A223" s="248" t="str">
        <f>A31</f>
        <v>PROPONENTE / TOMADOR</v>
      </c>
      <c r="B223" s="249"/>
      <c r="C223" s="249"/>
      <c r="D223" s="249"/>
      <c r="E223" s="249"/>
      <c r="F223" s="249"/>
      <c r="G223" s="248" t="str">
        <f>G31</f>
        <v>MUNICÍPIO / UF</v>
      </c>
      <c r="H223" s="249"/>
      <c r="I223" s="249"/>
      <c r="J223" s="250"/>
      <c r="K223" s="248" t="str">
        <f>K31</f>
        <v>LOCALIDADE / ENDEREÇO</v>
      </c>
      <c r="L223" s="249"/>
      <c r="M223" s="249"/>
      <c r="N223" s="249"/>
      <c r="O223" s="249"/>
      <c r="P223" s="250"/>
      <c r="Q223" s="248" t="str">
        <f>Q31</f>
        <v>APELIDO DO EMPREENDIMENTO</v>
      </c>
      <c r="R223" s="249"/>
      <c r="S223" s="249"/>
      <c r="T223" s="249"/>
      <c r="U223" s="249"/>
      <c r="V223" s="249"/>
      <c r="W223" s="249"/>
      <c r="X223" s="250"/>
    </row>
    <row r="224" spans="1:24" ht="12.75" customHeight="1" x14ac:dyDescent="0.25">
      <c r="A224" s="281" t="str">
        <f>IF(A32="","",A32)</f>
        <v>MUNICIPIO DE BENTO GONÇALVES</v>
      </c>
      <c r="B224" s="282"/>
      <c r="C224" s="282"/>
      <c r="D224" s="282"/>
      <c r="E224" s="282"/>
      <c r="F224" s="282"/>
      <c r="G224" s="283" t="str">
        <f>IF(G32="","",G32)</f>
        <v>BENTO GONÇALVES/RS</v>
      </c>
      <c r="H224" s="284" t="str">
        <f>IF(I32="","",I32)</f>
        <v/>
      </c>
      <c r="I224" s="284"/>
      <c r="J224" s="285" t="e">
        <f>IF(#REF!="","",#REF!)</f>
        <v>#REF!</v>
      </c>
      <c r="K224" s="283" t="str">
        <f>IF(K32="","",K32)</f>
        <v>TUIUTY</v>
      </c>
      <c r="L224" s="284"/>
      <c r="M224" s="284"/>
      <c r="N224" s="284"/>
      <c r="O224" s="284"/>
      <c r="P224" s="285"/>
      <c r="Q224" s="283" t="str">
        <f>IF(Q32="","",Q32)</f>
        <v>PAVIMENTAÇÃO EM CBUQ RUA SÍLVIO BERRETTI</v>
      </c>
      <c r="R224" s="284"/>
      <c r="S224" s="284"/>
      <c r="T224" s="284"/>
      <c r="U224" s="284"/>
      <c r="V224" s="284"/>
      <c r="W224" s="284"/>
      <c r="X224" s="285"/>
    </row>
    <row r="225" spans="1:24" ht="6" hidden="1"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5">
      <c r="A226" s="248" t="str">
        <f>A37</f>
        <v>DATA BASE</v>
      </c>
      <c r="B226" s="250"/>
      <c r="C226" s="135" t="str">
        <f>C37</f>
        <v>DESON.</v>
      </c>
      <c r="D226" s="248" t="str">
        <f>D37</f>
        <v>LOCALIDADE DO SINAPI</v>
      </c>
      <c r="E226" s="249"/>
      <c r="F226" s="250"/>
      <c r="G226" s="248" t="str">
        <f>G37</f>
        <v>DESCRIÇÃO DO LOTE</v>
      </c>
      <c r="H226" s="249"/>
      <c r="I226" s="249"/>
      <c r="J226" s="249"/>
      <c r="K226" s="249"/>
      <c r="L226" s="249"/>
      <c r="M226" s="249"/>
      <c r="N226" s="249"/>
      <c r="O226" s="249"/>
      <c r="P226" s="249"/>
      <c r="Q226" s="249"/>
      <c r="R226" s="249"/>
      <c r="S226" s="250"/>
      <c r="T226" s="136" t="str">
        <f>T37</f>
        <v>BDI 1</v>
      </c>
      <c r="U226" s="136" t="str">
        <f>U37</f>
        <v>BDI 2</v>
      </c>
      <c r="V226" s="136" t="str">
        <f>V37</f>
        <v>BDI 3</v>
      </c>
      <c r="W226" s="136" t="str">
        <f>W37</f>
        <v>BDI 4</v>
      </c>
      <c r="X226" s="136" t="str">
        <f>X37</f>
        <v>BDI 5</v>
      </c>
    </row>
    <row r="227" spans="1:24" ht="12.75" hidden="1" customHeight="1" x14ac:dyDescent="0.25">
      <c r="A227" s="288">
        <f>IF(A38="","",A38)</f>
        <v>45580</v>
      </c>
      <c r="B227" s="289"/>
      <c r="C227" s="137" t="str">
        <f t="shared" ref="C227:X227" si="0">IF(C38="","",C38)</f>
        <v>Não</v>
      </c>
      <c r="D227" s="290" t="str">
        <f t="shared" si="0"/>
        <v>Porto Alegre / RS</v>
      </c>
      <c r="E227" s="291" t="str">
        <f t="shared" si="0"/>
        <v/>
      </c>
      <c r="F227" s="292" t="str">
        <f t="shared" si="0"/>
        <v/>
      </c>
      <c r="G227" s="290" t="str">
        <f t="shared" si="0"/>
        <v>PAVIMENTAÇÃO EM CBUQ RUA SÍLVIO BERRETTI</v>
      </c>
      <c r="H227" s="291" t="str">
        <f t="shared" si="0"/>
        <v/>
      </c>
      <c r="I227" s="291" t="str">
        <f t="shared" si="0"/>
        <v/>
      </c>
      <c r="J227" s="291" t="str">
        <f t="shared" si="0"/>
        <v/>
      </c>
      <c r="K227" s="291" t="str">
        <f t="shared" si="0"/>
        <v/>
      </c>
      <c r="L227" s="291" t="str">
        <f t="shared" si="0"/>
        <v/>
      </c>
      <c r="M227" s="291" t="str">
        <f t="shared" si="0"/>
        <v/>
      </c>
      <c r="N227" s="291" t="str">
        <f t="shared" si="0"/>
        <v/>
      </c>
      <c r="O227" s="291" t="str">
        <f t="shared" si="0"/>
        <v/>
      </c>
      <c r="P227" s="291" t="str">
        <f t="shared" si="0"/>
        <v/>
      </c>
      <c r="Q227" s="291" t="str">
        <f t="shared" si="0"/>
        <v/>
      </c>
      <c r="R227" s="291" t="str">
        <f t="shared" si="0"/>
        <v/>
      </c>
      <c r="S227" s="292" t="str">
        <f t="shared" si="0"/>
        <v/>
      </c>
      <c r="T227" s="139">
        <f t="shared" ca="1" si="0"/>
        <v>0.23</v>
      </c>
      <c r="U227" s="96">
        <f t="shared" ca="1" si="0"/>
        <v>0.1988</v>
      </c>
      <c r="V227" s="96" t="str">
        <f t="shared" ca="1" si="0"/>
        <v/>
      </c>
      <c r="W227" s="96" t="str">
        <f t="shared" ca="1" si="0"/>
        <v/>
      </c>
      <c r="X227" s="96" t="str">
        <f t="shared" ca="1" si="0"/>
        <v/>
      </c>
    </row>
    <row r="228" spans="1:24" ht="6"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5">
      <c r="A229" s="248" t="s">
        <v>87</v>
      </c>
      <c r="B229" s="250"/>
      <c r="C229" s="248" t="s">
        <v>163</v>
      </c>
      <c r="D229" s="249"/>
      <c r="E229" s="249"/>
      <c r="F229" s="249"/>
      <c r="G229" s="249"/>
      <c r="H229" s="248" t="s">
        <v>16</v>
      </c>
      <c r="I229" s="249"/>
      <c r="J229" s="134" t="s">
        <v>91</v>
      </c>
      <c r="K229" s="248" t="s">
        <v>88</v>
      </c>
      <c r="L229" s="249"/>
      <c r="M229" s="250"/>
      <c r="N229" s="134" t="s">
        <v>92</v>
      </c>
      <c r="O229" s="248" t="s">
        <v>93</v>
      </c>
      <c r="P229" s="249"/>
      <c r="Q229" s="249"/>
      <c r="R229" s="249"/>
      <c r="S229" s="249"/>
      <c r="T229" s="250"/>
      <c r="U229" s="286" t="s">
        <v>89</v>
      </c>
      <c r="V229" s="287"/>
      <c r="W229" s="286" t="s">
        <v>90</v>
      </c>
      <c r="X229" s="287"/>
    </row>
    <row r="230" spans="1:24" s="21" customFormat="1" ht="12.75" customHeight="1" x14ac:dyDescent="0.25">
      <c r="A230" s="290" t="str">
        <f>IF(A43="","",A43)</f>
        <v/>
      </c>
      <c r="B230" s="292"/>
      <c r="C230" s="290" t="str">
        <f>IF(C43="","",C43)</f>
        <v/>
      </c>
      <c r="D230" s="291"/>
      <c r="E230" s="291" t="str">
        <f>IF(E43="","",E43)</f>
        <v/>
      </c>
      <c r="F230" s="291"/>
      <c r="G230" s="291" t="str">
        <f>IF(G43="","",G43)</f>
        <v/>
      </c>
      <c r="H230" s="307" t="str">
        <f>IF(H43="","",H43)</f>
        <v/>
      </c>
      <c r="I230" s="308" t="str">
        <f>IF(I43="","",I43)</f>
        <v/>
      </c>
      <c r="J230" s="138" t="str">
        <f>IF(J43="","",J43)</f>
        <v/>
      </c>
      <c r="K230" s="299" t="str">
        <f>IF(K43="","",K43)</f>
        <v/>
      </c>
      <c r="L230" s="301"/>
      <c r="M230" s="302" t="str">
        <f>IF(M43="","",M43)</f>
        <v/>
      </c>
      <c r="N230" s="140" t="str">
        <f>IF(N43="","",N43)</f>
        <v/>
      </c>
      <c r="O230" s="299" t="str">
        <f>IF(O43="","",O43)</f>
        <v/>
      </c>
      <c r="P230" s="300"/>
      <c r="Q230" s="300" t="str">
        <f>IF(Q43="","",Q43)</f>
        <v/>
      </c>
      <c r="R230" s="301"/>
      <c r="S230" s="301" t="str">
        <f>IF(S43="","",S43)</f>
        <v/>
      </c>
      <c r="T230" s="302"/>
      <c r="U230" s="305" t="str">
        <f>IF(U43="","",U43)</f>
        <v/>
      </c>
      <c r="V230" s="306"/>
      <c r="W230" s="303" t="str">
        <f>IF(W43="","",W43)</f>
        <v/>
      </c>
      <c r="X230" s="304"/>
    </row>
    <row r="231" spans="1:24" x14ac:dyDescent="0.25">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5">
      <c r="A232" s="1"/>
      <c r="B232" s="1"/>
      <c r="F232" s="1"/>
      <c r="G232" s="1"/>
      <c r="H232" s="1"/>
    </row>
    <row r="233" spans="1:24" x14ac:dyDescent="0.25">
      <c r="A233" s="1"/>
      <c r="B233" s="1"/>
      <c r="F233" s="1"/>
      <c r="G233" s="1"/>
      <c r="H233" s="1"/>
    </row>
    <row r="234" spans="1:24" x14ac:dyDescent="0.25">
      <c r="A234" s="1"/>
      <c r="B234" s="1"/>
      <c r="F234" s="1"/>
      <c r="G234" s="1"/>
      <c r="H234" s="1"/>
    </row>
    <row r="235" spans="1:24" x14ac:dyDescent="0.25">
      <c r="A235" s="1"/>
      <c r="B235" s="1"/>
      <c r="F235" s="1"/>
      <c r="G235" s="1"/>
      <c r="H235" s="1"/>
    </row>
    <row r="236" spans="1:24" ht="12.75" hidden="1" customHeight="1" x14ac:dyDescent="0.25">
      <c r="A236" s="1"/>
      <c r="B236" s="1"/>
      <c r="F236" s="1"/>
      <c r="G236" s="1"/>
      <c r="H236" s="1"/>
    </row>
    <row r="237" spans="1:24" ht="6" hidden="1" customHeight="1" x14ac:dyDescent="0.25">
      <c r="A237" s="1"/>
      <c r="B237" s="1"/>
      <c r="F237" s="1"/>
      <c r="G237" s="1"/>
      <c r="H237" s="1"/>
    </row>
    <row r="238" spans="1:24" ht="12.75" hidden="1" customHeight="1" x14ac:dyDescent="0.25">
      <c r="A238" s="1"/>
      <c r="B238" s="1"/>
      <c r="F238" s="1"/>
      <c r="G238" s="1"/>
      <c r="H238" s="1"/>
    </row>
    <row r="239" spans="1:24" ht="12.75" hidden="1" customHeight="1" x14ac:dyDescent="0.25">
      <c r="A239" s="1"/>
      <c r="B239" s="1"/>
      <c r="F239" s="1"/>
      <c r="G239" s="1"/>
      <c r="H239" s="1"/>
    </row>
    <row r="240" spans="1:24" ht="6" hidden="1" customHeight="1" x14ac:dyDescent="0.25">
      <c r="A240" s="1"/>
      <c r="B240" s="1"/>
      <c r="F240" s="1"/>
      <c r="G240" s="1"/>
      <c r="H240" s="1"/>
    </row>
    <row r="241" s="1" customFormat="1" ht="12.75" hidden="1" customHeight="1" x14ac:dyDescent="0.25"/>
    <row r="242" s="1" customFormat="1" ht="12.75" hidden="1" customHeight="1" x14ac:dyDescent="0.25"/>
    <row r="243" s="1" customFormat="1" ht="12.75" hidden="1" customHeight="1" x14ac:dyDescent="0.25"/>
    <row r="244" s="1" customFormat="1" ht="12.75" customHeight="1" x14ac:dyDescent="0.25"/>
    <row r="245" s="1" customFormat="1" ht="6" customHeight="1" x14ac:dyDescent="0.25"/>
    <row r="246" s="1" customFormat="1" ht="12.75" customHeight="1" x14ac:dyDescent="0.25"/>
    <row r="247" s="1" customFormat="1" ht="12.75" customHeight="1" x14ac:dyDescent="0.25"/>
    <row r="248" s="1" customFormat="1" ht="12.75" customHeight="1" x14ac:dyDescent="0.25"/>
    <row r="249" s="1" customFormat="1" ht="12.75" customHeight="1" x14ac:dyDescent="0.25"/>
    <row r="250" s="1" customFormat="1" ht="6" customHeigh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293" priority="42" stopIfTrue="1">
      <formula>$B54&lt;&gt;""</formula>
    </cfRule>
  </conditionalFormatting>
  <conditionalFormatting sqref="A48 H54:K54 H55:H56 H57:K57 A29:C29 J29 F29 A32 P29 G32 K32">
    <cfRule type="expression" dxfId="292" priority="48" stopIfTrue="1">
      <formula>A29&lt;&gt;""</formula>
    </cfRule>
  </conditionalFormatting>
  <conditionalFormatting sqref="G53:K54 G55:H56 G57:K57">
    <cfRule type="expression" dxfId="291" priority="43" stopIfTrue="1">
      <formula>$K$52&lt;&gt;"SIM"</formula>
    </cfRule>
  </conditionalFormatting>
  <conditionalFormatting sqref="A40:X43">
    <cfRule type="expression" dxfId="290" priority="56" stopIfTrue="1">
      <formula>OR(TipoOrçamento="BASE",TipoOrçamento="REPROGRAMADONPL")</formula>
    </cfRule>
    <cfRule type="expression" dxfId="289" priority="57" stopIfTrue="1">
      <formula>A40&lt;&gt;""</formula>
    </cfRule>
  </conditionalFormatting>
  <conditionalFormatting sqref="A35:X38">
    <cfRule type="expression" dxfId="288" priority="58" stopIfTrue="1">
      <formula>OR(TipoOrçamento="LICITADO",TipoOrçamento="REPROGRAMADOAC")</formula>
    </cfRule>
    <cfRule type="expression" dxfId="287" priority="59" stopIfTrue="1">
      <formula>A35&lt;&gt;""</formula>
    </cfRule>
  </conditionalFormatting>
  <conditionalFormatting sqref="Q32">
    <cfRule type="expression" dxfId="286"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SheetLayoutView="100" zoomScalePageLayoutView="70" workbookViewId="0">
      <selection activeCell="N22" sqref="N22"/>
    </sheetView>
  </sheetViews>
  <sheetFormatPr defaultColWidth="0" defaultRowHeight="13.2"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1</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40" t="s">
        <v>150</v>
      </c>
      <c r="J4" s="251"/>
      <c r="K4" s="240" t="s">
        <v>173</v>
      </c>
      <c r="L4" s="241"/>
      <c r="M4" s="241"/>
      <c r="N4" s="241"/>
      <c r="O4" s="241"/>
      <c r="P4" s="241"/>
      <c r="Q4" s="241"/>
      <c r="R4" s="251"/>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44">
        <f>DADOS!A29</f>
        <v>0</v>
      </c>
      <c r="J5" s="345"/>
      <c r="K5" s="346" t="str">
        <f>DADOS!A32</f>
        <v>MUNICIPIO DE BENTO GONÇALVES</v>
      </c>
      <c r="L5" s="347"/>
      <c r="M5" s="347"/>
      <c r="N5" s="347"/>
      <c r="O5" s="347"/>
      <c r="P5" s="347"/>
      <c r="Q5" s="347"/>
      <c r="R5" s="348"/>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40" t="s">
        <v>0</v>
      </c>
      <c r="J7" s="241"/>
      <c r="K7" s="241"/>
      <c r="L7" s="241"/>
      <c r="M7" s="241"/>
      <c r="N7" s="241"/>
      <c r="O7" s="241"/>
      <c r="P7" s="241"/>
      <c r="Q7" s="241"/>
      <c r="R7" s="251"/>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9" t="str">
        <f>DADOS!P29</f>
        <v>PAVIMENTAÇÃO EM CBUQ RUA SÍLVIO BERRETTI</v>
      </c>
      <c r="J8" s="349"/>
      <c r="K8" s="349"/>
      <c r="L8" s="349"/>
      <c r="M8" s="349"/>
      <c r="N8" s="349"/>
      <c r="O8" s="349"/>
      <c r="P8" s="349"/>
      <c r="Q8" s="349"/>
      <c r="R8" s="349"/>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0" t="s">
        <v>35</v>
      </c>
      <c r="J10" s="241"/>
      <c r="K10" s="241"/>
      <c r="L10" s="241"/>
      <c r="M10" s="241"/>
      <c r="N10" s="241"/>
      <c r="O10" s="241"/>
      <c r="P10" s="241"/>
      <c r="Q10" s="240" t="s">
        <v>13</v>
      </c>
      <c r="R10" s="251"/>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39" t="s">
        <v>34</v>
      </c>
      <c r="J11" s="340"/>
      <c r="K11" s="340"/>
      <c r="L11" s="340"/>
      <c r="M11" s="340"/>
      <c r="N11" s="340"/>
      <c r="O11" s="340"/>
      <c r="P11" s="341"/>
      <c r="Q11" s="342" t="str">
        <f>DADOS!$C$38</f>
        <v>Não</v>
      </c>
      <c r="R11" s="343"/>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4" t="s">
        <v>36</v>
      </c>
      <c r="J13" s="354"/>
      <c r="K13" s="354"/>
      <c r="L13" s="354"/>
      <c r="M13" s="354"/>
      <c r="N13" s="354"/>
      <c r="O13" s="354"/>
      <c r="P13" s="354"/>
      <c r="Q13" s="351">
        <v>0.45</v>
      </c>
      <c r="R13" s="351"/>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52" t="s">
        <v>38</v>
      </c>
      <c r="J14" s="352"/>
      <c r="K14" s="352"/>
      <c r="L14" s="352"/>
      <c r="M14" s="352"/>
      <c r="N14" s="352"/>
      <c r="O14" s="352"/>
      <c r="P14" s="352"/>
      <c r="Q14" s="351">
        <v>0.03</v>
      </c>
      <c r="R14" s="351"/>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53" t="s">
        <v>39</v>
      </c>
      <c r="J16" s="353"/>
      <c r="K16" s="353"/>
      <c r="L16" s="353"/>
      <c r="M16" s="353" t="s">
        <v>40</v>
      </c>
      <c r="N16" s="356" t="s">
        <v>41</v>
      </c>
      <c r="O16" s="356" t="s">
        <v>42</v>
      </c>
      <c r="P16" s="355" t="s">
        <v>43</v>
      </c>
      <c r="Q16" s="355" t="s">
        <v>44</v>
      </c>
      <c r="R16" s="333" t="s">
        <v>45</v>
      </c>
      <c r="T16" s="330" t="str">
        <f>IF(V27,"Para BDI fora do intervalo estatístico, deve ser apresentado Relatório Técnico Circunstanciado justificando a adoção do percentual de cada parcela do BDI.","")</f>
        <v/>
      </c>
      <c r="U16" s="330"/>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3"/>
      <c r="J17" s="353"/>
      <c r="K17" s="353"/>
      <c r="L17" s="353"/>
      <c r="M17" s="353"/>
      <c r="N17" s="356"/>
      <c r="O17" s="356"/>
      <c r="P17" s="355"/>
      <c r="Q17" s="355"/>
      <c r="R17" s="333"/>
      <c r="T17" s="330"/>
      <c r="U17" s="330"/>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8" t="str">
        <f>IF($I$11=$A$59,"Encargos Sociais incidentes sobre a mão de obra","Administração Central")</f>
        <v>Administração Central</v>
      </c>
      <c r="J18" s="318"/>
      <c r="K18" s="318"/>
      <c r="L18" s="318"/>
      <c r="M18" s="60" t="str">
        <f>IF($I$11=$A$59,"K1","AC")</f>
        <v>AC</v>
      </c>
      <c r="N18" s="61">
        <v>4.6699999999999998E-2</v>
      </c>
      <c r="O18" s="62" t="s">
        <v>46</v>
      </c>
      <c r="P18" s="63">
        <f>VLOOKUP(CONCATENATE(I$11,"-",M18),$C$2:$G$49,3,FALSE)</f>
        <v>3.7999999999999999E-2</v>
      </c>
      <c r="Q18" s="63">
        <f>VLOOKUP(CONCATENATE(I$11,"-",M18),$C$2:$G$49,4,FALSE)</f>
        <v>4.0099999999999997E-2</v>
      </c>
      <c r="R18" s="63">
        <f>VLOOKUP(CONCATENATE(I$11,"-",M18),$C$2:$G$49,5,FALSE)</f>
        <v>4.6699999999999998E-2</v>
      </c>
      <c r="T18" s="330"/>
      <c r="U18" s="330"/>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8" t="str">
        <f>IF($I$11=$A$59,"Administração Central da empresa ou consultoria - overhead","Seguro e Garantia")</f>
        <v>Seguro e Garantia</v>
      </c>
      <c r="J19" s="318"/>
      <c r="K19" s="318"/>
      <c r="L19" s="318"/>
      <c r="M19" s="60" t="str">
        <f>IF($I$11=$A$59,"K2","SG")</f>
        <v>SG</v>
      </c>
      <c r="N19" s="61">
        <v>7.4000000000000003E-3</v>
      </c>
      <c r="O19" s="62" t="s">
        <v>46</v>
      </c>
      <c r="P19" s="63">
        <f>VLOOKUP(CONCATENATE(I$11,"-",M19),$C$2:$G$49,3,FALSE)</f>
        <v>3.2000000000000002E-3</v>
      </c>
      <c r="Q19" s="63">
        <f>VLOOKUP(CONCATENATE(I$11,"-",M19),$C$2:$G$49,4,FALSE)</f>
        <v>4.0000000000000001E-3</v>
      </c>
      <c r="R19" s="63">
        <f>VLOOKUP(CONCATENATE(I$11,"-",M19),$C$2:$G$49,5,FALSE)</f>
        <v>7.4000000000000003E-3</v>
      </c>
      <c r="T19" s="330"/>
      <c r="U19" s="330"/>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8" t="str">
        <f>IF($I$11=$A$59,"","Risco")</f>
        <v>Risco</v>
      </c>
      <c r="J20" s="318"/>
      <c r="K20" s="318"/>
      <c r="L20" s="318"/>
      <c r="M20" s="60" t="str">
        <f>IF($I$11=$A$59,"","R")</f>
        <v>R</v>
      </c>
      <c r="N20" s="61">
        <v>9.7000000000000003E-3</v>
      </c>
      <c r="O20" s="62" t="s">
        <v>46</v>
      </c>
      <c r="P20" s="63">
        <f>VLOOKUP(CONCATENATE(I$11,"-",M20),$C$2:$G$49,3,FALSE)</f>
        <v>5.0000000000000001E-3</v>
      </c>
      <c r="Q20" s="63">
        <f>VLOOKUP(CONCATENATE(I$11,"-",M20),$C$2:$G$49,4,FALSE)</f>
        <v>5.6000000000000008E-3</v>
      </c>
      <c r="R20" s="63">
        <f>VLOOKUP(CONCATENATE(I$11,"-",M20),$C$2:$G$49,5,FALSE)</f>
        <v>9.7000000000000003E-3</v>
      </c>
      <c r="T20" s="330"/>
      <c r="U20" s="330"/>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8" t="str">
        <f>IF($I$11=$A$59,"","Despesas Financeiras")</f>
        <v>Despesas Financeiras</v>
      </c>
      <c r="J21" s="318"/>
      <c r="K21" s="318"/>
      <c r="L21" s="318"/>
      <c r="M21" s="60" t="str">
        <f>IF($I$11=$A$59,"","DF")</f>
        <v>DF</v>
      </c>
      <c r="N21" s="61">
        <v>1.06E-2</v>
      </c>
      <c r="O21" s="62" t="s">
        <v>46</v>
      </c>
      <c r="P21" s="63">
        <f>VLOOKUP(CONCATENATE(I$11,"-",M21),$C$2:$G$49,3,FALSE)</f>
        <v>1.0200000000000001E-2</v>
      </c>
      <c r="Q21" s="63">
        <f>VLOOKUP(CONCATENATE(I$11,"-",M21),$C$2:$G$49,4,FALSE)</f>
        <v>1.11E-2</v>
      </c>
      <c r="R21" s="63">
        <f>VLOOKUP(CONCATENATE(I$11,"-",M21),$C$2:$G$49,5,FALSE)</f>
        <v>1.21E-2</v>
      </c>
      <c r="T21" s="330"/>
      <c r="U21" s="330"/>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8" t="str">
        <f>IF($I$11=$A$59,"Margem bruta da empresa de consultoria","Lucro")</f>
        <v>Lucro</v>
      </c>
      <c r="J22" s="318"/>
      <c r="K22" s="318"/>
      <c r="L22" s="318"/>
      <c r="M22" s="60" t="str">
        <f>IF($I$11=$A$59,"K3","L")</f>
        <v>L</v>
      </c>
      <c r="N22" s="61">
        <v>8.6900000000000005E-2</v>
      </c>
      <c r="O22" s="62" t="s">
        <v>46</v>
      </c>
      <c r="P22" s="63">
        <f>VLOOKUP(CONCATENATE(I$11,"-",M22),$C$2:$G$49,3,FALSE)</f>
        <v>6.6400000000000001E-2</v>
      </c>
      <c r="Q22" s="63">
        <f>VLOOKUP(CONCATENATE(I$11,"-",M22),$C$2:$G$49,4,FALSE)</f>
        <v>7.2999999999999995E-2</v>
      </c>
      <c r="R22" s="63">
        <f>VLOOKUP(CONCATENATE(I$11,"-",M22),$C$2:$G$49,5,FALSE)</f>
        <v>8.6899999999999991E-2</v>
      </c>
      <c r="T22" s="330"/>
      <c r="U22" s="330"/>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2" t="s">
        <v>48</v>
      </c>
      <c r="J23" s="332"/>
      <c r="K23" s="332"/>
      <c r="L23" s="332"/>
      <c r="M23" s="60" t="s">
        <v>49</v>
      </c>
      <c r="N23" s="61">
        <v>3.6499999999999998E-2</v>
      </c>
      <c r="O23" s="62" t="s">
        <v>46</v>
      </c>
      <c r="P23" s="63">
        <v>3.6499999999999998E-2</v>
      </c>
      <c r="Q23" s="63">
        <v>3.6499999999999998E-2</v>
      </c>
      <c r="R23" s="63">
        <v>3.6499999999999998E-2</v>
      </c>
      <c r="T23" s="330"/>
      <c r="U23" s="330"/>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8" t="s">
        <v>50</v>
      </c>
      <c r="J24" s="318"/>
      <c r="K24" s="318"/>
      <c r="L24" s="318"/>
      <c r="M24" s="60" t="s">
        <v>51</v>
      </c>
      <c r="N24" s="63">
        <f>IF($I$11&lt;&gt;$A$58,Q14*Q13,0)</f>
        <v>1.35E-2</v>
      </c>
      <c r="O24" s="62" t="s">
        <v>46</v>
      </c>
      <c r="P24" s="63">
        <v>0</v>
      </c>
      <c r="Q24" s="63">
        <v>2.5000000000000001E-2</v>
      </c>
      <c r="R24" s="63">
        <v>0.05</v>
      </c>
      <c r="T24" s="330"/>
      <c r="U24" s="330"/>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8" t="s">
        <v>116</v>
      </c>
      <c r="J25" s="318"/>
      <c r="K25" s="318"/>
      <c r="L25" s="318"/>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8" t="s">
        <v>53</v>
      </c>
      <c r="J26" s="318"/>
      <c r="K26" s="318"/>
      <c r="L26" s="318"/>
      <c r="M26" s="65" t="s">
        <v>33</v>
      </c>
      <c r="N26" s="63">
        <f>IF($I$11=$A$58,0,ROUND((((1+N18+N19+N20)*(1+N21)*(1+N22)/(1-(N23+N24)))-1),4))</f>
        <v>0.23</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19" t="s">
        <v>55</v>
      </c>
      <c r="J27" s="319"/>
      <c r="K27" s="319"/>
      <c r="L27" s="319"/>
      <c r="M27" s="66" t="s">
        <v>56</v>
      </c>
      <c r="N27" s="67">
        <f>IF($I$11=$A$58,0,ROUND((((1+N18+N19+N20)*(1+N21)*(1+N22)/(1-(N23+N24+N25)))-1),4))</f>
        <v>0.23</v>
      </c>
      <c r="O27" s="110" t="str">
        <f>IF(Q11&lt;&gt;"Sim","",O26)</f>
        <v/>
      </c>
      <c r="P27" s="320"/>
      <c r="Q27" s="320"/>
      <c r="R27" s="320"/>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7" t="s">
        <v>117</v>
      </c>
      <c r="K29" s="317"/>
      <c r="L29" s="317"/>
      <c r="M29" s="317"/>
      <c r="N29" s="317"/>
      <c r="O29" s="317"/>
      <c r="P29" s="317"/>
      <c r="Q29" s="317"/>
      <c r="R29" s="317"/>
      <c r="V29" s="111" t="b">
        <v>0</v>
      </c>
      <c r="W29" s="52" t="s">
        <v>119</v>
      </c>
    </row>
    <row r="30" spans="1:31" ht="7.5" customHeight="1" x14ac:dyDescent="0.25">
      <c r="B30" s="54"/>
      <c r="E30" s="55"/>
      <c r="F30" s="55"/>
      <c r="G30" s="55"/>
      <c r="V30" s="111"/>
    </row>
    <row r="31" spans="1:31" ht="18.75" customHeight="1" x14ac:dyDescent="0.25">
      <c r="B31" s="54"/>
      <c r="E31" s="55"/>
      <c r="F31" s="55"/>
      <c r="G31" s="55"/>
      <c r="I31" s="322" t="s">
        <v>61</v>
      </c>
      <c r="J31" s="322"/>
      <c r="K31" s="322"/>
      <c r="L31" s="322"/>
      <c r="M31" s="322"/>
      <c r="N31" s="322"/>
      <c r="O31" s="322"/>
      <c r="P31" s="322"/>
      <c r="Q31" s="322"/>
      <c r="R31" s="322"/>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8" t="str">
        <f>IF(Q11="Sim","BDI.DES =","BDI.PAD =")</f>
        <v>BDI.PAD =</v>
      </c>
      <c r="M32" s="336" t="str">
        <f>IF($I$11=$A$59,"(1+K1+K2)*(1+K3)","(1+AC + S + R + G)*(1 + DF)*(1+L)")</f>
        <v>(1+AC + S + R + G)*(1 + DF)*(1+L)</v>
      </c>
      <c r="N32" s="336"/>
      <c r="O32" s="336"/>
      <c r="P32" s="334"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8"/>
      <c r="M33" s="337" t="str">
        <f>IF(Q11="Sim","(1-CP-ISS-CRPB)","(1-CP-ISS)")</f>
        <v>(1-CP-ISS)</v>
      </c>
      <c r="N33" s="337"/>
      <c r="O33" s="337"/>
      <c r="P33" s="335"/>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2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23"/>
      <c r="K35" s="323"/>
      <c r="L35" s="323"/>
      <c r="M35" s="323"/>
      <c r="N35" s="323"/>
      <c r="O35" s="323"/>
      <c r="P35" s="323"/>
      <c r="Q35" s="323"/>
      <c r="R35" s="323"/>
    </row>
    <row r="36" spans="1:18" ht="11.25" customHeight="1" x14ac:dyDescent="0.25">
      <c r="B36" s="59"/>
      <c r="E36" s="55"/>
      <c r="F36" s="55"/>
      <c r="G36" s="55"/>
    </row>
    <row r="37" spans="1:18" ht="52.5" customHeight="1" x14ac:dyDescent="0.25">
      <c r="B37" s="59"/>
      <c r="E37" s="55"/>
      <c r="F37" s="55"/>
      <c r="G37" s="55"/>
      <c r="I37" s="32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3"/>
      <c r="K37" s="323"/>
      <c r="L37" s="323"/>
      <c r="M37" s="323"/>
      <c r="N37" s="323"/>
      <c r="O37" s="323"/>
      <c r="P37" s="323"/>
      <c r="Q37" s="323"/>
      <c r="R37" s="323"/>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5" t="s">
        <v>233</v>
      </c>
      <c r="J40" s="326"/>
      <c r="K40" s="326"/>
      <c r="L40" s="326"/>
      <c r="M40" s="326"/>
      <c r="N40" s="326"/>
      <c r="O40" s="326"/>
      <c r="P40" s="326"/>
      <c r="Q40" s="326"/>
      <c r="R40" s="327"/>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1" t="str">
        <f>PO!K60</f>
        <v>BENTO GONÇALVES/RS</v>
      </c>
      <c r="J42" s="331"/>
      <c r="K42" s="331"/>
      <c r="L42" s="331"/>
      <c r="O42" s="324">
        <f ca="1">PO!K63</f>
        <v>45799</v>
      </c>
      <c r="P42" s="324"/>
      <c r="Q42" s="324"/>
      <c r="R42" s="324"/>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50" t="s">
        <v>120</v>
      </c>
      <c r="J43" s="350"/>
      <c r="K43" s="350"/>
      <c r="L43" s="350"/>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21"/>
      <c r="J45" s="321"/>
      <c r="K45" s="321"/>
      <c r="L45" s="321"/>
      <c r="M45" s="69"/>
      <c r="N45" s="69"/>
      <c r="O45" s="321"/>
      <c r="P45" s="321"/>
      <c r="Q45" s="321"/>
      <c r="R45" s="321"/>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8" t="s">
        <v>57</v>
      </c>
      <c r="J46" s="328"/>
      <c r="K46" s="328"/>
      <c r="L46" s="328"/>
      <c r="M46" s="70"/>
      <c r="N46" s="70"/>
      <c r="O46" s="328" t="s">
        <v>58</v>
      </c>
      <c r="P46" s="328"/>
      <c r="Q46" s="328"/>
      <c r="R46" s="328"/>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16">
        <f>DADOS!B54</f>
        <v>0</v>
      </c>
      <c r="K47" s="316"/>
      <c r="L47" s="316"/>
      <c r="M47" s="71"/>
      <c r="N47" s="71"/>
      <c r="O47" s="29" t="s">
        <v>140</v>
      </c>
      <c r="P47" s="329"/>
      <c r="Q47" s="329"/>
      <c r="R47" s="329"/>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16">
        <f>DADOS!B55</f>
        <v>0</v>
      </c>
      <c r="K48" s="316"/>
      <c r="L48" s="316"/>
      <c r="M48" s="71"/>
      <c r="N48" s="71"/>
      <c r="O48" s="29" t="s">
        <v>60</v>
      </c>
      <c r="P48" s="329"/>
      <c r="Q48" s="329"/>
      <c r="R48" s="329"/>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16">
        <f>DADOS!B56</f>
        <v>0</v>
      </c>
      <c r="K49" s="316"/>
      <c r="L49" s="316"/>
      <c r="M49" s="71"/>
      <c r="N49" s="71"/>
      <c r="O49" s="71"/>
      <c r="P49" s="71"/>
      <c r="Q49" s="71"/>
      <c r="R49" s="71"/>
    </row>
    <row r="50" spans="1:18" x14ac:dyDescent="0.25">
      <c r="I50" s="29" t="str">
        <f>DADOS!A57</f>
        <v>CNPJ:</v>
      </c>
      <c r="J50" s="316">
        <f>DADOS!B57</f>
        <v>0</v>
      </c>
      <c r="K50" s="316"/>
      <c r="L50" s="316"/>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algorithmName="SHA-512" hashValue="y0mgHHiQ7uyTjrj7v5fgrUMvHqSHe8pw9pLLh4QRd+vAthBVzE7Tm8mgdv+IvqYzqO7Y//aY1KA4F7lGIy9zyQ==" saltValue="HHWJtnRDHdakwaXsbKiQIA==" spinCount="100000"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285" priority="6" stopIfTrue="1">
      <formula>$O$42=""</formula>
    </cfRule>
  </conditionalFormatting>
  <conditionalFormatting sqref="O18:O27">
    <cfRule type="expression" dxfId="284" priority="11" stopIfTrue="1">
      <formula>AND(O18&lt;&gt;"OK",O18&lt;&gt;"-",O18&lt;&gt;"")</formula>
    </cfRule>
    <cfRule type="cellIs" dxfId="283" priority="12" stopIfTrue="1" operator="equal">
      <formula>"OK"</formula>
    </cfRule>
  </conditionalFormatting>
  <conditionalFormatting sqref="I26:N26">
    <cfRule type="expression" dxfId="282" priority="10" stopIfTrue="1">
      <formula>$Q$11="Não"</formula>
    </cfRule>
  </conditionalFormatting>
  <conditionalFormatting sqref="I27:N27">
    <cfRule type="expression" dxfId="281" priority="9" stopIfTrue="1">
      <formula>$Q$11="sim"</formula>
    </cfRule>
  </conditionalFormatting>
  <conditionalFormatting sqref="P27:R27">
    <cfRule type="expression" dxfId="280" priority="8" stopIfTrue="1">
      <formula>$Q$11="sim"</formula>
    </cfRule>
  </conditionalFormatting>
  <conditionalFormatting sqref="P47:R48">
    <cfRule type="expression" dxfId="279" priority="7" stopIfTrue="1">
      <formula>P47=""</formula>
    </cfRule>
  </conditionalFormatting>
  <conditionalFormatting sqref="I29:R29">
    <cfRule type="expression" dxfId="278" priority="3" stopIfTrue="1">
      <formula>AND(NOT($V$27),NOT($V$29))</formula>
    </cfRule>
  </conditionalFormatting>
  <conditionalFormatting sqref="P18:R26">
    <cfRule type="expression" dxfId="277"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SheetLayoutView="100" zoomScalePageLayoutView="70" workbookViewId="0">
      <selection activeCell="O1" sqref="O1"/>
    </sheetView>
  </sheetViews>
  <sheetFormatPr defaultColWidth="0" defaultRowHeight="13.2" customHeight="1"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2</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40" t="s">
        <v>150</v>
      </c>
      <c r="J4" s="251"/>
      <c r="K4" s="240" t="s">
        <v>173</v>
      </c>
      <c r="L4" s="241"/>
      <c r="M4" s="241"/>
      <c r="N4" s="241"/>
      <c r="O4" s="241"/>
      <c r="P4" s="241"/>
      <c r="Q4" s="241"/>
      <c r="R4" s="251"/>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44">
        <f>DADOS!A29</f>
        <v>0</v>
      </c>
      <c r="J5" s="345"/>
      <c r="K5" s="346" t="str">
        <f>DADOS!A32</f>
        <v>MUNICIPIO DE BENTO GONÇALVES</v>
      </c>
      <c r="L5" s="347"/>
      <c r="M5" s="347"/>
      <c r="N5" s="347"/>
      <c r="O5" s="347"/>
      <c r="P5" s="347"/>
      <c r="Q5" s="347"/>
      <c r="R5" s="348"/>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40" t="s">
        <v>0</v>
      </c>
      <c r="J7" s="241"/>
      <c r="K7" s="241"/>
      <c r="L7" s="241"/>
      <c r="M7" s="241"/>
      <c r="N7" s="241"/>
      <c r="O7" s="241"/>
      <c r="P7" s="241"/>
      <c r="Q7" s="241"/>
      <c r="R7" s="251"/>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9" t="str">
        <f>DADOS!P29</f>
        <v>PAVIMENTAÇÃO EM CBUQ RUA SÍLVIO BERRETTI</v>
      </c>
      <c r="J8" s="349"/>
      <c r="K8" s="349"/>
      <c r="L8" s="349"/>
      <c r="M8" s="349"/>
      <c r="N8" s="349"/>
      <c r="O8" s="349"/>
      <c r="P8" s="349"/>
      <c r="Q8" s="349"/>
      <c r="R8" s="349"/>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0" t="s">
        <v>35</v>
      </c>
      <c r="J10" s="241"/>
      <c r="K10" s="241"/>
      <c r="L10" s="241"/>
      <c r="M10" s="241"/>
      <c r="N10" s="241"/>
      <c r="O10" s="241"/>
      <c r="P10" s="241"/>
      <c r="Q10" s="240" t="s">
        <v>13</v>
      </c>
      <c r="R10" s="251"/>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39" t="s">
        <v>34</v>
      </c>
      <c r="J11" s="340"/>
      <c r="K11" s="340"/>
      <c r="L11" s="340"/>
      <c r="M11" s="340"/>
      <c r="N11" s="340"/>
      <c r="O11" s="340"/>
      <c r="P11" s="341"/>
      <c r="Q11" s="342" t="str">
        <f>DADOS!$C$38</f>
        <v>Não</v>
      </c>
      <c r="R11" s="343"/>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4" t="s">
        <v>36</v>
      </c>
      <c r="J13" s="354"/>
      <c r="K13" s="354"/>
      <c r="L13" s="354"/>
      <c r="M13" s="354"/>
      <c r="N13" s="354"/>
      <c r="O13" s="354"/>
      <c r="P13" s="354"/>
      <c r="Q13" s="351">
        <v>0.45</v>
      </c>
      <c r="R13" s="351"/>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52" t="s">
        <v>38</v>
      </c>
      <c r="J14" s="352"/>
      <c r="K14" s="352"/>
      <c r="L14" s="352"/>
      <c r="M14" s="352"/>
      <c r="N14" s="352"/>
      <c r="O14" s="352"/>
      <c r="P14" s="352"/>
      <c r="Q14" s="351">
        <v>0.03</v>
      </c>
      <c r="R14" s="351"/>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53" t="s">
        <v>39</v>
      </c>
      <c r="J16" s="353"/>
      <c r="K16" s="353"/>
      <c r="L16" s="353"/>
      <c r="M16" s="353" t="s">
        <v>40</v>
      </c>
      <c r="N16" s="356" t="s">
        <v>41</v>
      </c>
      <c r="O16" s="356" t="s">
        <v>42</v>
      </c>
      <c r="P16" s="355" t="s">
        <v>43</v>
      </c>
      <c r="Q16" s="355" t="s">
        <v>44</v>
      </c>
      <c r="R16" s="333" t="s">
        <v>45</v>
      </c>
      <c r="T16" s="330" t="str">
        <f>IF(V27,"Para BDI fora do intervalo estatístico, deve ser apresentado Relatório Técnico Circunstanciado justificando a adoção do percentual de cada parcela do BDI.","")</f>
        <v/>
      </c>
      <c r="U16" s="330"/>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3"/>
      <c r="J17" s="353"/>
      <c r="K17" s="353"/>
      <c r="L17" s="353"/>
      <c r="M17" s="353"/>
      <c r="N17" s="356"/>
      <c r="O17" s="356"/>
      <c r="P17" s="355"/>
      <c r="Q17" s="355"/>
      <c r="R17" s="333"/>
      <c r="T17" s="330"/>
      <c r="U17" s="330"/>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8" t="str">
        <f>IF($I$11=$A$59,"Encargos Sociais incidentes sobre a mão de obra","Administração Central")</f>
        <v>Administração Central</v>
      </c>
      <c r="J18" s="318"/>
      <c r="K18" s="318"/>
      <c r="L18" s="318"/>
      <c r="M18" s="60" t="str">
        <f>IF($I$11=$A$59,"K1","AC")</f>
        <v>AC</v>
      </c>
      <c r="N18" s="61">
        <v>4.0099999999999997E-2</v>
      </c>
      <c r="O18" s="62" t="s">
        <v>46</v>
      </c>
      <c r="P18" s="63">
        <f>VLOOKUP(CONCATENATE(I$11,"-",M18),$C$2:$G$49,3,FALSE)</f>
        <v>3.7999999999999999E-2</v>
      </c>
      <c r="Q18" s="63">
        <f>VLOOKUP(CONCATENATE(I$11,"-",M18),$C$2:$G$49,4,FALSE)</f>
        <v>4.0099999999999997E-2</v>
      </c>
      <c r="R18" s="63">
        <f>VLOOKUP(CONCATENATE(I$11,"-",M18),$C$2:$G$49,5,FALSE)</f>
        <v>4.6699999999999998E-2</v>
      </c>
      <c r="T18" s="330"/>
      <c r="U18" s="330"/>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8" t="str">
        <f>IF($I$11=$A$59,"Administração Central da empresa ou consultoria - overhead","Seguro e Garantia")</f>
        <v>Seguro e Garantia</v>
      </c>
      <c r="J19" s="318"/>
      <c r="K19" s="318"/>
      <c r="L19" s="318"/>
      <c r="M19" s="60" t="str">
        <f>IF($I$11=$A$59,"K2","SG")</f>
        <v>SG</v>
      </c>
      <c r="N19" s="61">
        <v>4.0000000000000001E-3</v>
      </c>
      <c r="O19" s="62" t="s">
        <v>46</v>
      </c>
      <c r="P19" s="63">
        <f>VLOOKUP(CONCATENATE(I$11,"-",M19),$C$2:$G$49,3,FALSE)</f>
        <v>3.2000000000000002E-3</v>
      </c>
      <c r="Q19" s="63">
        <f>VLOOKUP(CONCATENATE(I$11,"-",M19),$C$2:$G$49,4,FALSE)</f>
        <v>4.0000000000000001E-3</v>
      </c>
      <c r="R19" s="63">
        <f>VLOOKUP(CONCATENATE(I$11,"-",M19),$C$2:$G$49,5,FALSE)</f>
        <v>7.4000000000000003E-3</v>
      </c>
      <c r="T19" s="330"/>
      <c r="U19" s="330"/>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8" t="str">
        <f>IF($I$11=$A$59,"","Risco")</f>
        <v>Risco</v>
      </c>
      <c r="J20" s="318"/>
      <c r="K20" s="318"/>
      <c r="L20" s="318"/>
      <c r="M20" s="60" t="str">
        <f>IF($I$11=$A$59,"","R")</f>
        <v>R</v>
      </c>
      <c r="N20" s="61">
        <v>5.5999999999999999E-3</v>
      </c>
      <c r="O20" s="62" t="s">
        <v>46</v>
      </c>
      <c r="P20" s="63">
        <f>VLOOKUP(CONCATENATE(I$11,"-",M20),$C$2:$G$49,3,FALSE)</f>
        <v>5.0000000000000001E-3</v>
      </c>
      <c r="Q20" s="63">
        <f>VLOOKUP(CONCATENATE(I$11,"-",M20),$C$2:$G$49,4,FALSE)</f>
        <v>5.6000000000000008E-3</v>
      </c>
      <c r="R20" s="63">
        <f>VLOOKUP(CONCATENATE(I$11,"-",M20),$C$2:$G$49,5,FALSE)</f>
        <v>9.7000000000000003E-3</v>
      </c>
      <c r="T20" s="330"/>
      <c r="U20" s="330"/>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8" t="str">
        <f>IF($I$11=$A$59,"","Despesas Financeiras")</f>
        <v>Despesas Financeiras</v>
      </c>
      <c r="J21" s="318"/>
      <c r="K21" s="318"/>
      <c r="L21" s="318"/>
      <c r="M21" s="60" t="str">
        <f>IF($I$11=$A$59,"","DF")</f>
        <v>DF</v>
      </c>
      <c r="N21" s="61">
        <v>1.11E-2</v>
      </c>
      <c r="O21" s="62" t="s">
        <v>46</v>
      </c>
      <c r="P21" s="63">
        <f>VLOOKUP(CONCATENATE(I$11,"-",M21),$C$2:$G$49,3,FALSE)</f>
        <v>1.0200000000000001E-2</v>
      </c>
      <c r="Q21" s="63">
        <f>VLOOKUP(CONCATENATE(I$11,"-",M21),$C$2:$G$49,4,FALSE)</f>
        <v>1.11E-2</v>
      </c>
      <c r="R21" s="63">
        <f>VLOOKUP(CONCATENATE(I$11,"-",M21),$C$2:$G$49,5,FALSE)</f>
        <v>1.21E-2</v>
      </c>
      <c r="T21" s="330"/>
      <c r="U21" s="330"/>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8" t="str">
        <f>IF($I$11=$A$59,"Margem bruta da empresa de consultoria","Lucro")</f>
        <v>Lucro</v>
      </c>
      <c r="J22" s="318"/>
      <c r="K22" s="318"/>
      <c r="L22" s="318"/>
      <c r="M22" s="60" t="str">
        <f>IF($I$11=$A$59,"K3","L")</f>
        <v>L</v>
      </c>
      <c r="N22" s="61">
        <v>7.2999999999999995E-2</v>
      </c>
      <c r="O22" s="62" t="s">
        <v>46</v>
      </c>
      <c r="P22" s="63">
        <f>VLOOKUP(CONCATENATE(I$11,"-",M22),$C$2:$G$49,3,FALSE)</f>
        <v>6.6400000000000001E-2</v>
      </c>
      <c r="Q22" s="63">
        <f>VLOOKUP(CONCATENATE(I$11,"-",M22),$C$2:$G$49,4,FALSE)</f>
        <v>7.2999999999999995E-2</v>
      </c>
      <c r="R22" s="63">
        <f>VLOOKUP(CONCATENATE(I$11,"-",M22),$C$2:$G$49,5,FALSE)</f>
        <v>8.6899999999999991E-2</v>
      </c>
      <c r="T22" s="330"/>
      <c r="U22" s="330"/>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2" t="s">
        <v>48</v>
      </c>
      <c r="J23" s="332"/>
      <c r="K23" s="332"/>
      <c r="L23" s="332"/>
      <c r="M23" s="60" t="s">
        <v>49</v>
      </c>
      <c r="N23" s="61">
        <v>3.6499999999999998E-2</v>
      </c>
      <c r="O23" s="62" t="s">
        <v>46</v>
      </c>
      <c r="P23" s="63">
        <v>3.6499999999999998E-2</v>
      </c>
      <c r="Q23" s="63">
        <v>3.6499999999999998E-2</v>
      </c>
      <c r="R23" s="63">
        <v>3.6499999999999998E-2</v>
      </c>
      <c r="T23" s="330"/>
      <c r="U23" s="330"/>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8" t="s">
        <v>50</v>
      </c>
      <c r="J24" s="318"/>
      <c r="K24" s="318"/>
      <c r="L24" s="318"/>
      <c r="M24" s="60" t="s">
        <v>51</v>
      </c>
      <c r="N24" s="63">
        <f>IF($I$11&lt;&gt;$A$58,Q14*Q13,0)</f>
        <v>1.35E-2</v>
      </c>
      <c r="O24" s="62" t="s">
        <v>46</v>
      </c>
      <c r="P24" s="63">
        <v>0</v>
      </c>
      <c r="Q24" s="63">
        <v>2.5000000000000001E-2</v>
      </c>
      <c r="R24" s="63">
        <v>0.05</v>
      </c>
      <c r="T24" s="330"/>
      <c r="U24" s="330"/>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8" t="s">
        <v>116</v>
      </c>
      <c r="J25" s="318"/>
      <c r="K25" s="318"/>
      <c r="L25" s="318"/>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8" t="s">
        <v>53</v>
      </c>
      <c r="J26" s="318"/>
      <c r="K26" s="318"/>
      <c r="L26" s="318"/>
      <c r="M26" s="65" t="s">
        <v>33</v>
      </c>
      <c r="N26" s="63">
        <f>IF($I$11=$A$58,0,ROUND((((1+N18+N19+N20)*(1+N21)*(1+N22)/(1-(N23+N24)))-1),4))</f>
        <v>0.1988</v>
      </c>
      <c r="O26" s="234"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19" t="s">
        <v>55</v>
      </c>
      <c r="J27" s="319"/>
      <c r="K27" s="319"/>
      <c r="L27" s="319"/>
      <c r="M27" s="66" t="s">
        <v>56</v>
      </c>
      <c r="N27" s="67">
        <f>IF($I$11=$A$58,0,ROUND((((1+N18+N19+N20)*(1+N21)*(1+N22)/(1-(N23+N24+N25)))-1),4))</f>
        <v>0.1988</v>
      </c>
      <c r="O27" s="110" t="str">
        <f>IF(Q11&lt;&gt;"Sim","",O26)</f>
        <v/>
      </c>
      <c r="P27" s="320"/>
      <c r="Q27" s="320"/>
      <c r="R27" s="320"/>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7" t="s">
        <v>117</v>
      </c>
      <c r="K29" s="317"/>
      <c r="L29" s="317"/>
      <c r="M29" s="317"/>
      <c r="N29" s="317"/>
      <c r="O29" s="317"/>
      <c r="P29" s="317"/>
      <c r="Q29" s="317"/>
      <c r="R29" s="317"/>
      <c r="V29" s="111" t="b">
        <v>0</v>
      </c>
      <c r="W29" s="52" t="s">
        <v>119</v>
      </c>
    </row>
    <row r="30" spans="1:31" ht="7.5" customHeight="1" x14ac:dyDescent="0.25">
      <c r="B30" s="54"/>
      <c r="E30" s="55"/>
      <c r="F30" s="55"/>
      <c r="G30" s="55"/>
      <c r="V30" s="111"/>
    </row>
    <row r="31" spans="1:31" ht="18.75" customHeight="1" x14ac:dyDescent="0.25">
      <c r="B31" s="54"/>
      <c r="E31" s="55"/>
      <c r="F31" s="55"/>
      <c r="G31" s="55"/>
      <c r="I31" s="322" t="s">
        <v>61</v>
      </c>
      <c r="J31" s="322"/>
      <c r="K31" s="322"/>
      <c r="L31" s="322"/>
      <c r="M31" s="322"/>
      <c r="N31" s="322"/>
      <c r="O31" s="322"/>
      <c r="P31" s="322"/>
      <c r="Q31" s="322"/>
      <c r="R31" s="322"/>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8" t="str">
        <f>IF(Q11="Sim","BDI.DES =","BDI.PAD =")</f>
        <v>BDI.PAD =</v>
      </c>
      <c r="M32" s="336" t="str">
        <f>IF($I$11=$A$59,"(1+K1+K2)*(1+K3)","(1+AC + S + R + G)*(1 + DF)*(1+L)")</f>
        <v>(1+AC + S + R + G)*(1 + DF)*(1+L)</v>
      </c>
      <c r="N32" s="336"/>
      <c r="O32" s="336"/>
      <c r="P32" s="334"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8"/>
      <c r="M33" s="337" t="str">
        <f>IF(Q11="Sim","(1-CP-ISS-CRPB)","(1-CP-ISS)")</f>
        <v>(1-CP-ISS)</v>
      </c>
      <c r="N33" s="337"/>
      <c r="O33" s="337"/>
      <c r="P33" s="335"/>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2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23"/>
      <c r="K35" s="323"/>
      <c r="L35" s="323"/>
      <c r="M35" s="323"/>
      <c r="N35" s="323"/>
      <c r="O35" s="323"/>
      <c r="P35" s="323"/>
      <c r="Q35" s="323"/>
      <c r="R35" s="323"/>
    </row>
    <row r="36" spans="1:18" ht="11.25" customHeight="1" x14ac:dyDescent="0.25">
      <c r="B36" s="59"/>
      <c r="E36" s="55"/>
      <c r="F36" s="55"/>
      <c r="G36" s="55"/>
    </row>
    <row r="37" spans="1:18" ht="52.5" customHeight="1" x14ac:dyDescent="0.25">
      <c r="B37" s="59"/>
      <c r="E37" s="55"/>
      <c r="F37" s="55"/>
      <c r="G37" s="55"/>
      <c r="I37" s="32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3"/>
      <c r="K37" s="323"/>
      <c r="L37" s="323"/>
      <c r="M37" s="323"/>
      <c r="N37" s="323"/>
      <c r="O37" s="323"/>
      <c r="P37" s="323"/>
      <c r="Q37" s="323"/>
      <c r="R37" s="323"/>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5" t="s">
        <v>233</v>
      </c>
      <c r="J40" s="326"/>
      <c r="K40" s="326"/>
      <c r="L40" s="326"/>
      <c r="M40" s="326"/>
      <c r="N40" s="326"/>
      <c r="O40" s="326"/>
      <c r="P40" s="326"/>
      <c r="Q40" s="326"/>
      <c r="R40" s="327"/>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1" t="str">
        <f>PO!K60</f>
        <v>BENTO GONÇALVES/RS</v>
      </c>
      <c r="J42" s="331"/>
      <c r="K42" s="331"/>
      <c r="L42" s="331"/>
      <c r="O42" s="324">
        <f ca="1">PO!K63</f>
        <v>45799</v>
      </c>
      <c r="P42" s="324"/>
      <c r="Q42" s="324"/>
      <c r="R42" s="324"/>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50" t="s">
        <v>120</v>
      </c>
      <c r="J43" s="350"/>
      <c r="K43" s="350"/>
      <c r="L43" s="350"/>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21"/>
      <c r="J45" s="321"/>
      <c r="K45" s="321"/>
      <c r="L45" s="321"/>
      <c r="M45" s="69"/>
      <c r="N45" s="69"/>
      <c r="O45" s="321"/>
      <c r="P45" s="321"/>
      <c r="Q45" s="321"/>
      <c r="R45" s="321"/>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8" t="s">
        <v>57</v>
      </c>
      <c r="J46" s="328"/>
      <c r="K46" s="328"/>
      <c r="L46" s="328"/>
      <c r="M46" s="70"/>
      <c r="N46" s="70"/>
      <c r="O46" s="328" t="s">
        <v>58</v>
      </c>
      <c r="P46" s="328"/>
      <c r="Q46" s="328"/>
      <c r="R46" s="328"/>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33" t="s">
        <v>140</v>
      </c>
      <c r="J47" s="316">
        <f>DADOS!B54</f>
        <v>0</v>
      </c>
      <c r="K47" s="316"/>
      <c r="L47" s="316"/>
      <c r="M47" s="71"/>
      <c r="N47" s="71"/>
      <c r="O47" s="233" t="s">
        <v>140</v>
      </c>
      <c r="P47" s="329"/>
      <c r="Q47" s="329"/>
      <c r="R47" s="329"/>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33" t="s">
        <v>17</v>
      </c>
      <c r="J48" s="316">
        <f>DADOS!B55</f>
        <v>0</v>
      </c>
      <c r="K48" s="316"/>
      <c r="L48" s="316"/>
      <c r="M48" s="71"/>
      <c r="N48" s="71"/>
      <c r="O48" s="233" t="s">
        <v>60</v>
      </c>
      <c r="P48" s="329"/>
      <c r="Q48" s="329"/>
      <c r="R48" s="329"/>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33" t="str">
        <f>DADOS!A56</f>
        <v>Empresa:</v>
      </c>
      <c r="J49" s="316">
        <f>DADOS!B56</f>
        <v>0</v>
      </c>
      <c r="K49" s="316"/>
      <c r="L49" s="316"/>
      <c r="M49" s="71"/>
      <c r="N49" s="71"/>
      <c r="O49" s="71"/>
      <c r="P49" s="71"/>
      <c r="Q49" s="71"/>
      <c r="R49" s="71"/>
    </row>
    <row r="50" spans="1:18" x14ac:dyDescent="0.25">
      <c r="I50" s="233" t="str">
        <f>DADOS!A57</f>
        <v>CNPJ:</v>
      </c>
      <c r="J50" s="316">
        <f>DADOS!B57</f>
        <v>0</v>
      </c>
      <c r="K50" s="316"/>
      <c r="L50" s="316"/>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algorithmName="SHA-512" hashValue="y0mgHHiQ7uyTjrj7v5fgrUMvHqSHe8pw9pLLh4QRd+vAthBVzE7Tm8mgdv+IvqYzqO7Y//aY1KA4F7lGIy9zyQ==" saltValue="HHWJtnRDHdakwaXsbKiQIA==" spinCount="100000"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276" priority="3" stopIfTrue="1">
      <formula>$O$42=""</formula>
    </cfRule>
  </conditionalFormatting>
  <conditionalFormatting sqref="O18:O27">
    <cfRule type="expression" dxfId="275" priority="8" stopIfTrue="1">
      <formula>AND(O18&lt;&gt;"OK",O18&lt;&gt;"-",O18&lt;&gt;"")</formula>
    </cfRule>
    <cfRule type="cellIs" dxfId="274" priority="9" stopIfTrue="1" operator="equal">
      <formula>"OK"</formula>
    </cfRule>
  </conditionalFormatting>
  <conditionalFormatting sqref="I26:N26">
    <cfRule type="expression" dxfId="273" priority="7" stopIfTrue="1">
      <formula>$Q$11="Não"</formula>
    </cfRule>
  </conditionalFormatting>
  <conditionalFormatting sqref="I27:N27">
    <cfRule type="expression" dxfId="272" priority="6" stopIfTrue="1">
      <formula>$Q$11="sim"</formula>
    </cfRule>
  </conditionalFormatting>
  <conditionalFormatting sqref="P27:R27">
    <cfRule type="expression" dxfId="271" priority="5" stopIfTrue="1">
      <formula>$Q$11="sim"</formula>
    </cfRule>
  </conditionalFormatting>
  <conditionalFormatting sqref="P47:R48">
    <cfRule type="expression" dxfId="270" priority="4" stopIfTrue="1">
      <formula>P47=""</formula>
    </cfRule>
  </conditionalFormatting>
  <conditionalFormatting sqref="I29:R29">
    <cfRule type="expression" dxfId="269" priority="2" stopIfTrue="1">
      <formula>AND(NOT($V$27),NOT($V$29))</formula>
    </cfRule>
  </conditionalFormatting>
  <conditionalFormatting sqref="P18:R26">
    <cfRule type="expression" dxfId="268"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64"/>
  <sheetViews>
    <sheetView showGridLines="0" tabSelected="1" topLeftCell="L1" zoomScale="85" zoomScaleNormal="85" zoomScaleSheetLayoutView="80" workbookViewId="0">
      <pane ySplit="12" topLeftCell="A37" activePane="bottomLeft" state="frozen"/>
      <selection pane="bottomLeft" activeCell="Y13" sqref="Y13:Y48"/>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5">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7" t="s">
        <v>181</v>
      </c>
      <c r="X2" s="357"/>
      <c r="Y2" s="4"/>
      <c r="Z2" s="4"/>
      <c r="AA2" s="4"/>
    </row>
    <row r="3" spans="1:27" ht="12.75" customHeight="1" x14ac:dyDescent="0.25">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 customHeight="1" x14ac:dyDescent="0.25">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 customHeight="1" x14ac:dyDescent="0.25">
      <c r="A5" s="9">
        <f>MAX($A$12:$A$49)</f>
        <v>1</v>
      </c>
      <c r="B5" s="4"/>
      <c r="D5" s="117"/>
      <c r="F5" s="5"/>
      <c r="G5" s="4"/>
      <c r="H5" s="4"/>
      <c r="I5" s="4"/>
      <c r="J5" s="4"/>
      <c r="K5" s="4"/>
      <c r="L5" s="4"/>
      <c r="M5" s="4"/>
      <c r="N5" s="4"/>
      <c r="O5" s="4"/>
      <c r="P5" s="4"/>
      <c r="Q5" s="4"/>
      <c r="R5" s="4"/>
      <c r="S5" s="4"/>
      <c r="T5" s="4"/>
      <c r="U5" s="119" t="str">
        <f ca="1">IF(COUNTIF($U$12:OFFSET($U$49,-1,0),"DESCRIÇÃO")+COUNTIF($U$12:OFFSET($U$49,-1,0),"UNIDADE")+COUNTIF($U$12:OFFSET($U$49,-1,0),"SEM VALOR")&gt;0,"NÃO OK","OK")</f>
        <v>NÃO OK</v>
      </c>
      <c r="V5" s="212" t="s">
        <v>106</v>
      </c>
      <c r="W5" s="211" t="s">
        <v>183</v>
      </c>
      <c r="X5" s="214" t="b">
        <v>1</v>
      </c>
      <c r="Y5" s="4"/>
      <c r="Z5" s="4"/>
      <c r="AA5" s="4"/>
    </row>
    <row r="6" spans="1:27" ht="24.9" customHeight="1" x14ac:dyDescent="0.25">
      <c r="A6" s="4"/>
      <c r="B6" s="4"/>
      <c r="D6" s="117"/>
      <c r="F6" s="5"/>
      <c r="G6" s="4"/>
      <c r="H6" s="4"/>
      <c r="I6" s="4"/>
      <c r="J6" s="4"/>
      <c r="K6" s="82"/>
      <c r="L6" s="4"/>
      <c r="M6" s="4"/>
      <c r="N6" s="4"/>
      <c r="O6" s="4"/>
      <c r="P6" s="4"/>
      <c r="Q6" s="4"/>
      <c r="R6" s="4"/>
      <c r="S6" s="4"/>
      <c r="T6" s="4"/>
      <c r="U6" s="4"/>
      <c r="V6" s="4"/>
      <c r="W6" s="211" t="s">
        <v>184</v>
      </c>
      <c r="X6" s="214" t="b">
        <v>1</v>
      </c>
      <c r="Y6" s="4"/>
      <c r="Z6" s="4"/>
      <c r="AA6" s="4"/>
    </row>
    <row r="7" spans="1:27" ht="24.9" customHeight="1" x14ac:dyDescent="0.25">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5">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5">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5">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IF(OR($A11="S",$A11=0),0,MATCH(0,OFFSET($B11,1,$A11,ROW($A$49)-ROW($A11)),0))</f>
        <v>0</v>
      </c>
      <c r="I11">
        <f ca="1">IF(OR($A11="S",$A11=0),0,MATCH(OFFSET($B11,0,$A11)+1,OFFSET($B11,1,$A11,ROW($A$49)-ROW($A11)),0))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0.23</v>
      </c>
      <c r="AA11" s="4"/>
    </row>
    <row r="12" spans="1:27" x14ac:dyDescent="0.25">
      <c r="A12">
        <v>0</v>
      </c>
      <c r="B12">
        <f ca="1">COUNTA(OFFSET(B12,1,0):B$49)</f>
        <v>36</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SUMIF(OFFSET($J12,1,0,ROW(T49)-ROW(T12)-1),"Serviço",OFFSET(T12,1,0,ROW(T49)-ROW(T12)-1))</f>
        <v>0</v>
      </c>
      <c r="U12" s="13" t="str">
        <f>IF($N12=0,"DESCRIÇÃO","")</f>
        <v>DESCRIÇÃO</v>
      </c>
      <c r="V12" s="4">
        <v>0</v>
      </c>
      <c r="W12" s="4"/>
      <c r="X12" s="4"/>
      <c r="Y12" s="11"/>
      <c r="Z12" s="133"/>
      <c r="AA12" s="4"/>
    </row>
    <row r="13" spans="1:27" x14ac:dyDescent="0.25">
      <c r="A13">
        <f t="shared" ref="A13" si="0">CHOOSE(1+LOG(1+2*(J13="Meta")+4*(J13="Nível 2")+8*(J13="Nível 3")+16*(J13="Nível 4")+32*(J13="Serviço"),2),0,1,2,3,4,"S")</f>
        <v>1</v>
      </c>
      <c r="B13">
        <f t="shared" ref="B13" ca="1" si="1">IF(OR(A13="S",A13=0),0,IF(ISERROR(I13),H13,SMALL(H13:I13,1)))</f>
        <v>6</v>
      </c>
      <c r="C13">
        <f t="shared" ref="C13" ca="1" si="2">IF($A13=1,OFFSET(C13,-1,0)+1,OFFSET(C13,-1,0))</f>
        <v>1</v>
      </c>
      <c r="D13">
        <f t="shared" ref="D13" ca="1" si="3">IF($A13=1,0,IF($A13=2,OFFSET(D13,-1,0)+1,OFFSET(D13,-1,0)))</f>
        <v>0</v>
      </c>
      <c r="E13">
        <f t="shared" ref="E13" ca="1" si="4">IF(AND($A13&lt;=2,$A13&lt;&gt;0),0,IF($A13=3,OFFSET(E13,-1,0)+1,OFFSET(E13,-1,0)))</f>
        <v>0</v>
      </c>
      <c r="F13">
        <f t="shared" ref="F13" ca="1" si="5">IF(AND($A13&lt;=3,$A13&lt;&gt;0),0,IF($A13=4,OFFSET(F13,-1,0)+1,OFFSET(F13,-1,0)))</f>
        <v>0</v>
      </c>
      <c r="G13">
        <f t="shared" ref="G13" ca="1" si="6">IF(AND($A13&lt;=4,$A13&lt;&gt;0),0,IF($A13="S",OFFSET(G13,-1,0)+1,OFFSET(G13,-1,0)))</f>
        <v>0</v>
      </c>
      <c r="H13">
        <f t="shared" ref="H13:H48" ca="1" si="7">IF(OR($A13="S",$A13=0),0,MATCH(0,OFFSET($B13,1,$A13,ROW($A$49)-ROW($A13)),0))</f>
        <v>36</v>
      </c>
      <c r="I13">
        <f t="shared" ref="I13:I48" ca="1" si="8">IF(OR($A13="S",$A13=0),0,MATCH(OFFSET($B13,0,$A13)+1,OFFSET($B13,1,$A13,ROW($A$49)-ROW($A13)),0))</f>
        <v>6</v>
      </c>
      <c r="J13" s="164" t="s">
        <v>99</v>
      </c>
      <c r="K13" s="162" t="str">
        <f t="shared" ref="K13" ca="1" si="9">IF($A13=0,"-",CONCATENATE(C13&amp;".",IF(AND($A$5&gt;=2,$A13&gt;=2),D13&amp;".",""),IF(AND($A$5&gt;=3,$A13&gt;=3),E13&amp;".",""),IF(AND($A$5&gt;=4,$A13&gt;=4),F13&amp;".",""),IF($A13="S",G13&amp;".","")))</f>
        <v>1.</v>
      </c>
      <c r="L13" s="396"/>
      <c r="M13" s="396"/>
      <c r="N13" s="397" t="s">
        <v>240</v>
      </c>
      <c r="O13" s="398"/>
      <c r="P13" s="399">
        <v>0</v>
      </c>
      <c r="Q13" s="228"/>
      <c r="R13" s="231" t="s">
        <v>7</v>
      </c>
      <c r="S13" s="121">
        <f t="shared" ref="S13" si="10">IF($A13="S",IF($Q$10="Preço Unitário (R$)",PO.CustoUnitario,ROUND(PO.CustoUnitario*(1+$Z13),15-13*$X$6)),0)</f>
        <v>0</v>
      </c>
      <c r="T13" s="98">
        <f t="shared" ref="T13" ca="1" si="11">IF($A13="S",VTOTAL1,IF($A13=0,0,ROUND(SomaAgrup,15-13*$X$7)))</f>
        <v>0</v>
      </c>
      <c r="U13" s="13" t="str">
        <f t="shared" ref="U13" ca="1" si="12">IF($J13="","",IF($N13="","DESCRIÇÃO",IF(AND($J13="Serviço",$O13=""),"UNIDADE",IF($T13&lt;=0,"SEM VALOR",IF(AND($Y13&lt;&gt;"",$Q13&gt;$Y13),"ACIMA REF.","")))))</f>
        <v>SEM VALOR</v>
      </c>
      <c r="V13" s="4">
        <f ca="1">IF(OR($A13=0,$A13="S",$A13&gt;CFF!$A$9),"",MAX(V$12:OFFSET(V13,-1,0))+1)</f>
        <v>1</v>
      </c>
      <c r="W13" s="9" t="b">
        <f t="shared" ref="W13" si="13">IF(AND($J13="Serviço",$M13&lt;&gt;""),IF($L13="",$M13,CONCATENATE($L13,"-",$M13)))</f>
        <v>0</v>
      </c>
      <c r="X13" s="4" t="str">
        <f t="shared" ref="X13" ca="1" si="14">IF(AND(Fonte&lt;&gt;"",Código&lt;&gt;""),MATCH(Fonte&amp;" "&amp;IF(Fonte="sinapi",SUBSTITUTE(SUBSTITUTE(Código,"/00","/"),"/0","/"),Código),INDIRECT("'[Referência "&amp;_xlnm.Database&amp;".xls]Banco'!$a:$a"),0),"X")</f>
        <v>X</v>
      </c>
      <c r="Y13" s="121">
        <v>0</v>
      </c>
      <c r="Z13" s="132">
        <f ca="1">ROUND(IF(ISNUMBER(R13),R13,IF(LEFT(R13,3)="BDI",HLOOKUP(R13,DADOS!$T$37:$X$38,2,FALSE),0)),15-11*$X$5)</f>
        <v>0.23</v>
      </c>
      <c r="AA13" s="4"/>
    </row>
    <row r="14" spans="1:27" ht="26.4" x14ac:dyDescent="0.25">
      <c r="A14" t="str">
        <f>CHOOSE(1+LOG(1+2*(J14="Meta")+4*(J14="Nível 2")+8*(J14="Nível 3")+16*(J14="Nível 4")+32*(J14="Serviço"),2),0,1,2,3,4,"S")</f>
        <v>S</v>
      </c>
      <c r="B14">
        <f>IF(OR(A14="S",A14=0),0,IF(ISERROR(I14),H14,SMALL(H14:I14,1)))</f>
        <v>0</v>
      </c>
      <c r="C14">
        <f ca="1">IF($A14=1,OFFSET(C14,-1,0)+1,OFFSET(C14,-1,0))</f>
        <v>1</v>
      </c>
      <c r="D14">
        <f ca="1">IF($A14=1,0,IF($A14=2,OFFSET(D14,-1,0)+1,OFFSET(D14,-1,0)))</f>
        <v>0</v>
      </c>
      <c r="E14">
        <f ca="1">IF(AND($A14&lt;=2,$A14&lt;&gt;0),0,IF($A14=3,OFFSET(E14,-1,0)+1,OFFSET(E14,-1,0)))</f>
        <v>0</v>
      </c>
      <c r="F14">
        <f ca="1">IF(AND($A14&lt;=3,$A14&lt;&gt;0),0,IF($A14=4,OFFSET(F14,-1,0)+1,OFFSET(F14,-1,0)))</f>
        <v>0</v>
      </c>
      <c r="G14">
        <f ca="1">IF(AND($A14&lt;=4,$A14&lt;&gt;0),0,IF($A14="S",OFFSET(G14,-1,0)+1,OFFSET(G14,-1,0)))</f>
        <v>1</v>
      </c>
      <c r="H14">
        <f t="shared" ca="1" si="7"/>
        <v>0</v>
      </c>
      <c r="I14">
        <f t="shared" ca="1" si="8"/>
        <v>0</v>
      </c>
      <c r="J14" s="395" t="s">
        <v>103</v>
      </c>
      <c r="K14" s="162" t="str">
        <f ca="1">IF($A14=0,"-",CONCATENATE(C14&amp;".",IF(AND($A$5&gt;=2,$A14&gt;=2),D14&amp;".",""),IF(AND($A$5&gt;=3,$A14&gt;=3),E14&amp;".",""),IF(AND($A$5&gt;=4,$A14&gt;=4),F14&amp;".",""),IF($A14="S",G14&amp;".","")))</f>
        <v>1.1.</v>
      </c>
      <c r="L14" s="396" t="s">
        <v>232</v>
      </c>
      <c r="M14" s="396" t="s">
        <v>259</v>
      </c>
      <c r="N14" s="397" t="s">
        <v>302</v>
      </c>
      <c r="O14" s="398" t="s">
        <v>252</v>
      </c>
      <c r="P14" s="399">
        <v>4.5</v>
      </c>
      <c r="Q14" s="228"/>
      <c r="R14" s="231" t="s">
        <v>7</v>
      </c>
      <c r="S14" s="121">
        <f>IF($A14="S",IF($Q$10="Preço Unitário (R$)",PO.CustoUnitario,ROUND(PO.CustoUnitario*(1+$Z14),15-13*$X$6)),0)</f>
        <v>0</v>
      </c>
      <c r="T14" s="98">
        <f>IF($A14="S",VTOTAL1,IF($A14=0,0,ROUND(SomaAgrup,15-13*$X$7)))</f>
        <v>0</v>
      </c>
      <c r="U14" s="13" t="str">
        <f>IF($J14="","",IF($N14="","DESCRIÇÃO",IF(AND($J14="Serviço",$O14=""),"UNIDADE",IF($T14&lt;=0,"SEM VALOR",IF(AND($Y14&lt;&gt;"",$Q14&gt;$Y14),"ACIMA REF.","")))))</f>
        <v>SEM VALOR</v>
      </c>
      <c r="V14" s="4" t="str">
        <f ca="1">IF(OR($A14=0,$A14="S",$A14&gt;CFF!$A$9),"",MAX(V$12:OFFSET(V14,-1,0))+1)</f>
        <v/>
      </c>
      <c r="W14" s="9" t="str">
        <f>IF(AND($J14="Serviço",$M14&lt;&gt;""),IF($L14="",$M14,CONCATENATE($L14,"-",$M14)))</f>
        <v>SINAPI-103689</v>
      </c>
      <c r="X14" s="4">
        <f ca="1">IF(AND(Fonte&lt;&gt;"",Código&lt;&gt;""),MATCH(Fonte&amp;" "&amp;IF(Fonte="sinapi",SUBSTITUTE(SUBSTITUTE(Código,"/00","/"),"/0","/"),Código),INDIRECT("'[Referência "&amp;_xlnm.Database&amp;".xls]Banco'!$a:$a"),0),"X")</f>
        <v>6356</v>
      </c>
      <c r="Y14" s="121">
        <v>565.38</v>
      </c>
      <c r="Z14" s="132">
        <f ca="1">ROUND(IF(ISNUMBER(R14),R14,IF(LEFT(R14,3)="BDI",HLOOKUP(R14,DADOS!$T$37:$X$38,2,FALSE),0)),15-11*$X$5)</f>
        <v>0.23</v>
      </c>
      <c r="AA14" s="4"/>
    </row>
    <row r="15" spans="1:27" x14ac:dyDescent="0.25">
      <c r="A15" t="str">
        <f t="shared" ref="A15:A16" si="15">CHOOSE(1+LOG(1+2*(J15="Meta")+4*(J15="Nível 2")+8*(J15="Nível 3")+16*(J15="Nível 4")+32*(J15="Serviço"),2),0,1,2,3,4,"S")</f>
        <v>S</v>
      </c>
      <c r="B15">
        <f t="shared" ref="B15:B16" si="16">IF(OR(A15="S",A15=0),0,IF(ISERROR(I15),H15,SMALL(H15:I15,1)))</f>
        <v>0</v>
      </c>
      <c r="C15">
        <f t="shared" ref="C15:C16" ca="1" si="17">IF($A15=1,OFFSET(C15,-1,0)+1,OFFSET(C15,-1,0))</f>
        <v>1</v>
      </c>
      <c r="D15">
        <f t="shared" ref="D15:D16" ca="1" si="18">IF($A15=1,0,IF($A15=2,OFFSET(D15,-1,0)+1,OFFSET(D15,-1,0)))</f>
        <v>0</v>
      </c>
      <c r="E15">
        <f t="shared" ref="E15:E16" ca="1" si="19">IF(AND($A15&lt;=2,$A15&lt;&gt;0),0,IF($A15=3,OFFSET(E15,-1,0)+1,OFFSET(E15,-1,0)))</f>
        <v>0</v>
      </c>
      <c r="F15">
        <f t="shared" ref="F15:F16" ca="1" si="20">IF(AND($A15&lt;=3,$A15&lt;&gt;0),0,IF($A15=4,OFFSET(F15,-1,0)+1,OFFSET(F15,-1,0)))</f>
        <v>0</v>
      </c>
      <c r="G15">
        <f t="shared" ref="G15:G16" ca="1" si="21">IF(AND($A15&lt;=4,$A15&lt;&gt;0),0,IF($A15="S",OFFSET(G15,-1,0)+1,OFFSET(G15,-1,0)))</f>
        <v>2</v>
      </c>
      <c r="H15">
        <f t="shared" ca="1" si="7"/>
        <v>0</v>
      </c>
      <c r="I15">
        <f t="shared" ca="1" si="8"/>
        <v>0</v>
      </c>
      <c r="J15" s="395" t="s">
        <v>103</v>
      </c>
      <c r="K15" s="162" t="str">
        <f t="shared" ref="K15:K16" ca="1" si="22">IF($A15=0,"-",CONCATENATE(C15&amp;".",IF(AND($A$5&gt;=2,$A15&gt;=2),D15&amp;".",""),IF(AND($A$5&gt;=3,$A15&gt;=3),E15&amp;".",""),IF(AND($A$5&gt;=4,$A15&gt;=4),F15&amp;".",""),IF($A15="S",G15&amp;".","")))</f>
        <v>1.2.</v>
      </c>
      <c r="L15" s="396" t="s">
        <v>236</v>
      </c>
      <c r="M15" s="396" t="s">
        <v>242</v>
      </c>
      <c r="N15" s="397" t="s">
        <v>303</v>
      </c>
      <c r="O15" s="398" t="s">
        <v>252</v>
      </c>
      <c r="P15" s="399">
        <v>4000</v>
      </c>
      <c r="Q15" s="228"/>
      <c r="R15" s="231" t="s">
        <v>7</v>
      </c>
      <c r="S15" s="121">
        <f t="shared" ref="S15:S43" si="23">IF($A15="S",IF($Q$10="Preço Unitário (R$)",PO.CustoUnitario,ROUND(PO.CustoUnitario*(1+$Z15),15-13*$X$6)),0)</f>
        <v>0</v>
      </c>
      <c r="T15" s="98">
        <f t="shared" ref="T15:T43" si="24">IF($A15="S",VTOTAL1,IF($A15=0,0,ROUND(SomaAgrup,15-13*$X$7)))</f>
        <v>0</v>
      </c>
      <c r="U15" s="13" t="str">
        <f t="shared" ref="U15:U16" si="25">IF($J15="","",IF($N15="","DESCRIÇÃO",IF(AND($J15="Serviço",$O15=""),"UNIDADE",IF($T15&lt;=0,"SEM VALOR",IF(AND($Y15&lt;&gt;"",$Q15&gt;$Y15),"ACIMA REF.","")))))</f>
        <v>SEM VALOR</v>
      </c>
      <c r="V15" s="4" t="str">
        <f ca="1">IF(OR($A15=0,$A15="S",$A15&gt;CFF!$A$9),"",MAX(V$12:OFFSET(V15,-1,0))+1)</f>
        <v/>
      </c>
      <c r="W15" s="9" t="str">
        <f t="shared" ref="W15:W16" si="26">IF(AND($J15="Serviço",$M15&lt;&gt;""),IF($L15="",$M15,CONCATENATE($L15,"-",$M15)))</f>
        <v>PM BENTO-77</v>
      </c>
      <c r="X15" s="4">
        <f t="shared" ref="X15:X43" ca="1" si="27">IF(AND(Fonte&lt;&gt;"",Código&lt;&gt;""),MATCH(Fonte&amp;" "&amp;IF(Fonte="sinapi",SUBSTITUTE(SUBSTITUTE(Código,"/00","/"),"/0","/"),Código),INDIRECT("'[Referência "&amp;_xlnm.Database&amp;".xls]Banco'!$a:$a"),0),"X")</f>
        <v>81</v>
      </c>
      <c r="Y15" s="121">
        <v>0.56999999999999995</v>
      </c>
      <c r="Z15" s="132">
        <f ca="1">ROUND(IF(ISNUMBER(R15),R15,IF(LEFT(R15,3)="BDI",HLOOKUP(R15,DADOS!$T$37:$X$38,2,FALSE),0)),15-11*$X$5)</f>
        <v>0.23</v>
      </c>
      <c r="AA15" s="4"/>
    </row>
    <row r="16" spans="1:27" x14ac:dyDescent="0.25">
      <c r="A16" t="str">
        <f t="shared" si="15"/>
        <v>S</v>
      </c>
      <c r="B16">
        <f t="shared" si="16"/>
        <v>0</v>
      </c>
      <c r="C16">
        <f t="shared" ca="1" si="17"/>
        <v>1</v>
      </c>
      <c r="D16">
        <f t="shared" ca="1" si="18"/>
        <v>0</v>
      </c>
      <c r="E16">
        <f t="shared" ca="1" si="19"/>
        <v>0</v>
      </c>
      <c r="F16">
        <f t="shared" ca="1" si="20"/>
        <v>0</v>
      </c>
      <c r="G16">
        <f t="shared" ca="1" si="21"/>
        <v>3</v>
      </c>
      <c r="H16">
        <f t="shared" ca="1" si="7"/>
        <v>0</v>
      </c>
      <c r="I16">
        <f t="shared" ca="1" si="8"/>
        <v>0</v>
      </c>
      <c r="J16" s="395" t="s">
        <v>103</v>
      </c>
      <c r="K16" s="162" t="str">
        <f t="shared" ca="1" si="22"/>
        <v>1.3.</v>
      </c>
      <c r="L16" s="396" t="s">
        <v>236</v>
      </c>
      <c r="M16" s="396" t="s">
        <v>243</v>
      </c>
      <c r="N16" s="397" t="s">
        <v>304</v>
      </c>
      <c r="O16" s="398" t="s">
        <v>253</v>
      </c>
      <c r="P16" s="399">
        <v>500</v>
      </c>
      <c r="Q16" s="228"/>
      <c r="R16" s="231" t="s">
        <v>7</v>
      </c>
      <c r="S16" s="121">
        <f t="shared" si="23"/>
        <v>0</v>
      </c>
      <c r="T16" s="98">
        <f t="shared" si="24"/>
        <v>0</v>
      </c>
      <c r="U16" s="13" t="str">
        <f t="shared" si="25"/>
        <v>SEM VALOR</v>
      </c>
      <c r="V16" s="4" t="str">
        <f ca="1">IF(OR($A16=0,$A16="S",$A16&gt;CFF!$A$9),"",MAX(V$12:OFFSET(V16,-1,0))+1)</f>
        <v/>
      </c>
      <c r="W16" s="9" t="str">
        <f t="shared" si="26"/>
        <v>PM BENTO-78</v>
      </c>
      <c r="X16" s="4">
        <f t="shared" ca="1" si="27"/>
        <v>82</v>
      </c>
      <c r="Y16" s="121">
        <v>4.75</v>
      </c>
      <c r="Z16" s="132">
        <f ca="1">ROUND(IF(ISNUMBER(R16),R16,IF(LEFT(R16,3)="BDI",HLOOKUP(R16,DADOS!$T$37:$X$38,2,FALSE),0)),15-11*$X$5)</f>
        <v>0.23</v>
      </c>
      <c r="AA16" s="4"/>
    </row>
    <row r="17" spans="1:27" x14ac:dyDescent="0.25">
      <c r="A17" t="str">
        <f t="shared" ref="A17:A20" si="28">CHOOSE(1+LOG(1+2*(J17="Meta")+4*(J17="Nível 2")+8*(J17="Nível 3")+16*(J17="Nível 4")+32*(J17="Serviço"),2),0,1,2,3,4,"S")</f>
        <v>S</v>
      </c>
      <c r="B17">
        <f t="shared" ref="B17:B20" si="29">IF(OR(A17="S",A17=0),0,IF(ISERROR(I17),H17,SMALL(H17:I17,1)))</f>
        <v>0</v>
      </c>
      <c r="C17">
        <f t="shared" ref="C17:C20" ca="1" si="30">IF($A17=1,OFFSET(C17,-1,0)+1,OFFSET(C17,-1,0))</f>
        <v>1</v>
      </c>
      <c r="D17">
        <f t="shared" ref="D17:D20" ca="1" si="31">IF($A17=1,0,IF($A17=2,OFFSET(D17,-1,0)+1,OFFSET(D17,-1,0)))</f>
        <v>0</v>
      </c>
      <c r="E17">
        <f t="shared" ref="E17:E20" ca="1" si="32">IF(AND($A17&lt;=2,$A17&lt;&gt;0),0,IF($A17=3,OFFSET(E17,-1,0)+1,OFFSET(E17,-1,0)))</f>
        <v>0</v>
      </c>
      <c r="F17">
        <f t="shared" ref="F17:F20" ca="1" si="33">IF(AND($A17&lt;=3,$A17&lt;&gt;0),0,IF($A17=4,OFFSET(F17,-1,0)+1,OFFSET(F17,-1,0)))</f>
        <v>0</v>
      </c>
      <c r="G17">
        <f t="shared" ref="G17:G20" ca="1" si="34">IF(AND($A17&lt;=4,$A17&lt;&gt;0),0,IF($A17="S",OFFSET(G17,-1,0)+1,OFFSET(G17,-1,0)))</f>
        <v>4</v>
      </c>
      <c r="H17">
        <f t="shared" ca="1" si="7"/>
        <v>0</v>
      </c>
      <c r="I17">
        <f t="shared" ca="1" si="8"/>
        <v>0</v>
      </c>
      <c r="J17" s="395" t="s">
        <v>103</v>
      </c>
      <c r="K17" s="162" t="str">
        <f t="shared" ref="K17:K20" ca="1" si="35">IF($A17=0,"-",CONCATENATE(C17&amp;".",IF(AND($A$5&gt;=2,$A17&gt;=2),D17&amp;".",""),IF(AND($A$5&gt;=3,$A17&gt;=3),E17&amp;".",""),IF(AND($A$5&gt;=4,$A17&gt;=4),F17&amp;".",""),IF($A17="S",G17&amp;".","")))</f>
        <v>1.4.</v>
      </c>
      <c r="L17" s="396" t="s">
        <v>232</v>
      </c>
      <c r="M17" s="396" t="s">
        <v>241</v>
      </c>
      <c r="N17" s="397" t="s">
        <v>305</v>
      </c>
      <c r="O17" s="398" t="s">
        <v>254</v>
      </c>
      <c r="P17" s="399">
        <v>80</v>
      </c>
      <c r="Q17" s="228"/>
      <c r="R17" s="231" t="s">
        <v>7</v>
      </c>
      <c r="S17" s="121">
        <f t="shared" ref="S17:S20" si="36">IF($A17="S",IF($Q$10="Preço Unitário (R$)",PO.CustoUnitario,ROUND(PO.CustoUnitario*(1+$Z17),15-13*$X$6)),0)</f>
        <v>0</v>
      </c>
      <c r="T17" s="98">
        <f t="shared" ref="T17:T20" si="37">IF($A17="S",VTOTAL1,IF($A17=0,0,ROUND(SomaAgrup,15-13*$X$7)))</f>
        <v>0</v>
      </c>
      <c r="U17" s="13" t="str">
        <f t="shared" ref="U17:U20" si="38">IF($J17="","",IF($N17="","DESCRIÇÃO",IF(AND($J17="Serviço",$O17=""),"UNIDADE",IF($T17&lt;=0,"SEM VALOR",IF(AND($Y17&lt;&gt;"",$Q17&gt;$Y17),"ACIMA REF.","")))))</f>
        <v>SEM VALOR</v>
      </c>
      <c r="V17" s="4" t="str">
        <f ca="1">IF(OR($A17=0,$A17="S",$A17&gt;CFF!$A$9),"",MAX(V$12:OFFSET(V17,-1,0))+1)</f>
        <v/>
      </c>
      <c r="W17" s="9" t="str">
        <f t="shared" ref="W17:W20" si="39">IF(AND($J17="Serviço",$M17&lt;&gt;""),IF($L17="",$M17,CONCATENATE($L17,"-",$M17)))</f>
        <v>SINAPI-90778</v>
      </c>
      <c r="X17" s="4">
        <f t="shared" ref="X17:X20" ca="1" si="40">IF(AND(Fonte&lt;&gt;"",Código&lt;&gt;""),MATCH(Fonte&amp;" "&amp;IF(Fonte="sinapi",SUBSTITUTE(SUBSTITUTE(Código,"/00","/"),"/0","/"),Código),INDIRECT("'[Referência "&amp;_xlnm.Database&amp;".xls]Banco'!$a:$a"),0),"X")</f>
        <v>7568</v>
      </c>
      <c r="Y17" s="121">
        <v>155.69</v>
      </c>
      <c r="Z17" s="132">
        <f ca="1">ROUND(IF(ISNUMBER(R17),R17,IF(LEFT(R17,3)="BDI",HLOOKUP(R17,DADOS!$T$37:$X$38,2,FALSE),0)),15-11*$X$5)</f>
        <v>0.23</v>
      </c>
      <c r="AA17" s="4"/>
    </row>
    <row r="18" spans="1:27" x14ac:dyDescent="0.25">
      <c r="A18" t="str">
        <f t="shared" si="28"/>
        <v>S</v>
      </c>
      <c r="B18">
        <f t="shared" si="29"/>
        <v>0</v>
      </c>
      <c r="C18">
        <f t="shared" ca="1" si="30"/>
        <v>1</v>
      </c>
      <c r="D18">
        <f t="shared" ca="1" si="31"/>
        <v>0</v>
      </c>
      <c r="E18">
        <f t="shared" ca="1" si="32"/>
        <v>0</v>
      </c>
      <c r="F18">
        <f t="shared" ca="1" si="33"/>
        <v>0</v>
      </c>
      <c r="G18">
        <f t="shared" ca="1" si="34"/>
        <v>5</v>
      </c>
      <c r="H18">
        <f t="shared" ca="1" si="7"/>
        <v>0</v>
      </c>
      <c r="I18">
        <f t="shared" ca="1" si="8"/>
        <v>0</v>
      </c>
      <c r="J18" s="395" t="s">
        <v>103</v>
      </c>
      <c r="K18" s="162" t="str">
        <f t="shared" ca="1" si="35"/>
        <v>1.5.</v>
      </c>
      <c r="L18" s="396" t="s">
        <v>236</v>
      </c>
      <c r="M18" s="396" t="s">
        <v>250</v>
      </c>
      <c r="N18" s="397" t="s">
        <v>306</v>
      </c>
      <c r="O18" s="398" t="s">
        <v>251</v>
      </c>
      <c r="P18" s="399">
        <v>1</v>
      </c>
      <c r="Q18" s="228"/>
      <c r="R18" s="231" t="s">
        <v>7</v>
      </c>
      <c r="S18" s="121">
        <f t="shared" si="36"/>
        <v>0</v>
      </c>
      <c r="T18" s="98">
        <f t="shared" si="37"/>
        <v>0</v>
      </c>
      <c r="U18" s="13" t="str">
        <f t="shared" si="38"/>
        <v>SEM VALOR</v>
      </c>
      <c r="V18" s="4" t="str">
        <f ca="1">IF(OR($A18=0,$A18="S",$A18&gt;CFF!$A$9),"",MAX(V$12:OFFSET(V18,-1,0))+1)</f>
        <v/>
      </c>
      <c r="W18" s="9" t="str">
        <f t="shared" si="39"/>
        <v>PM BENTO-94</v>
      </c>
      <c r="X18" s="4">
        <f t="shared" ca="1" si="40"/>
        <v>111</v>
      </c>
      <c r="Y18" s="121">
        <v>6025.28</v>
      </c>
      <c r="Z18" s="132">
        <f ca="1">ROUND(IF(ISNUMBER(R18),R18,IF(LEFT(R18,3)="BDI",HLOOKUP(R18,DADOS!$T$37:$X$38,2,FALSE),0)),15-11*$X$5)</f>
        <v>0.23</v>
      </c>
      <c r="AA18" s="4"/>
    </row>
    <row r="19" spans="1:27" x14ac:dyDescent="0.25">
      <c r="A19">
        <f t="shared" si="28"/>
        <v>1</v>
      </c>
      <c r="B19">
        <f t="shared" ca="1" si="29"/>
        <v>8</v>
      </c>
      <c r="C19">
        <f t="shared" ca="1" si="30"/>
        <v>2</v>
      </c>
      <c r="D19">
        <f t="shared" ca="1" si="31"/>
        <v>0</v>
      </c>
      <c r="E19">
        <f t="shared" ca="1" si="32"/>
        <v>0</v>
      </c>
      <c r="F19">
        <f t="shared" ca="1" si="33"/>
        <v>0</v>
      </c>
      <c r="G19">
        <f t="shared" ca="1" si="34"/>
        <v>0</v>
      </c>
      <c r="H19">
        <f t="shared" ca="1" si="7"/>
        <v>30</v>
      </c>
      <c r="I19">
        <f t="shared" ca="1" si="8"/>
        <v>8</v>
      </c>
      <c r="J19" s="395" t="s">
        <v>99</v>
      </c>
      <c r="K19" s="162" t="str">
        <f t="shared" ca="1" si="35"/>
        <v>2.</v>
      </c>
      <c r="L19" s="396"/>
      <c r="M19" s="396"/>
      <c r="N19" s="397" t="s">
        <v>257</v>
      </c>
      <c r="O19" s="398" t="s">
        <v>106</v>
      </c>
      <c r="P19" s="399"/>
      <c r="Q19" s="228"/>
      <c r="R19" s="231" t="s">
        <v>7</v>
      </c>
      <c r="S19" s="121">
        <f t="shared" si="36"/>
        <v>0</v>
      </c>
      <c r="T19" s="98">
        <f t="shared" ca="1" si="37"/>
        <v>0</v>
      </c>
      <c r="U19" s="13" t="str">
        <f t="shared" ca="1" si="38"/>
        <v>SEM VALOR</v>
      </c>
      <c r="V19" s="4">
        <f ca="1">IF(OR($A19=0,$A19="S",$A19&gt;CFF!$A$9),"",MAX(V$12:OFFSET(V19,-1,0))+1)</f>
        <v>2</v>
      </c>
      <c r="W19" s="9" t="b">
        <f t="shared" si="39"/>
        <v>0</v>
      </c>
      <c r="X19" s="4" t="str">
        <f t="shared" ca="1" si="40"/>
        <v>X</v>
      </c>
      <c r="Y19" s="121">
        <v>0</v>
      </c>
      <c r="Z19" s="132">
        <f ca="1">ROUND(IF(ISNUMBER(R19),R19,IF(LEFT(R19,3)="BDI",HLOOKUP(R19,DADOS!$T$37:$X$38,2,FALSE),0)),15-11*$X$5)</f>
        <v>0.23</v>
      </c>
      <c r="AA19" s="4"/>
    </row>
    <row r="20" spans="1:27" x14ac:dyDescent="0.25">
      <c r="A20" t="str">
        <f t="shared" si="28"/>
        <v>S</v>
      </c>
      <c r="B20">
        <f t="shared" si="29"/>
        <v>0</v>
      </c>
      <c r="C20">
        <f t="shared" ca="1" si="30"/>
        <v>2</v>
      </c>
      <c r="D20">
        <f t="shared" ca="1" si="31"/>
        <v>0</v>
      </c>
      <c r="E20">
        <f t="shared" ca="1" si="32"/>
        <v>0</v>
      </c>
      <c r="F20">
        <f t="shared" ca="1" si="33"/>
        <v>0</v>
      </c>
      <c r="G20">
        <f t="shared" ca="1" si="34"/>
        <v>1</v>
      </c>
      <c r="H20">
        <f t="shared" ca="1" si="7"/>
        <v>0</v>
      </c>
      <c r="I20">
        <f t="shared" ca="1" si="8"/>
        <v>0</v>
      </c>
      <c r="J20" s="395" t="s">
        <v>103</v>
      </c>
      <c r="K20" s="162" t="str">
        <f t="shared" ca="1" si="35"/>
        <v>2.1.</v>
      </c>
      <c r="L20" s="396" t="s">
        <v>238</v>
      </c>
      <c r="M20" s="396" t="s">
        <v>260</v>
      </c>
      <c r="N20" s="397" t="s">
        <v>261</v>
      </c>
      <c r="O20" s="398" t="s">
        <v>262</v>
      </c>
      <c r="P20" s="399">
        <v>4000</v>
      </c>
      <c r="Q20" s="228"/>
      <c r="R20" s="231" t="s">
        <v>7</v>
      </c>
      <c r="S20" s="121">
        <f t="shared" si="36"/>
        <v>0</v>
      </c>
      <c r="T20" s="98">
        <f t="shared" si="37"/>
        <v>0</v>
      </c>
      <c r="U20" s="13" t="str">
        <f t="shared" si="38"/>
        <v>SEM VALOR</v>
      </c>
      <c r="V20" s="4" t="str">
        <f ca="1">IF(OR($A20=0,$A20="S",$A20&gt;CFF!$A$9),"",MAX(V$12:OFFSET(V20,-1,0))+1)</f>
        <v/>
      </c>
      <c r="W20" s="9" t="str">
        <f t="shared" si="39"/>
        <v>SICRO-5502985</v>
      </c>
      <c r="X20" s="4" t="e">
        <f t="shared" ca="1" si="40"/>
        <v>#N/A</v>
      </c>
      <c r="Y20" s="121">
        <v>0.69</v>
      </c>
      <c r="Z20" s="132">
        <f ca="1">ROUND(IF(ISNUMBER(R20),R20,IF(LEFT(R20,3)="BDI",HLOOKUP(R20,DADOS!$T$37:$X$38,2,FALSE),0)),15-11*$X$5)</f>
        <v>0.23</v>
      </c>
      <c r="AA20" s="4"/>
    </row>
    <row r="21" spans="1:27" x14ac:dyDescent="0.25">
      <c r="A21" t="str">
        <f t="shared" ref="A21:A23" si="41">CHOOSE(1+LOG(1+2*(J21="Meta")+4*(J21="Nível 2")+8*(J21="Nível 3")+16*(J21="Nível 4")+32*(J21="Serviço"),2),0,1,2,3,4,"S")</f>
        <v>S</v>
      </c>
      <c r="B21">
        <f t="shared" ref="B21:B23" si="42">IF(OR(A21="S",A21=0),0,IF(ISERROR(I21),H21,SMALL(H21:I21,1)))</f>
        <v>0</v>
      </c>
      <c r="C21">
        <f t="shared" ref="C21:C23" ca="1" si="43">IF($A21=1,OFFSET(C21,-1,0)+1,OFFSET(C21,-1,0))</f>
        <v>2</v>
      </c>
      <c r="D21">
        <f t="shared" ref="D21:D23" ca="1" si="44">IF($A21=1,0,IF($A21=2,OFFSET(D21,-1,0)+1,OFFSET(D21,-1,0)))</f>
        <v>0</v>
      </c>
      <c r="E21">
        <f t="shared" ref="E21:E23" ca="1" si="45">IF(AND($A21&lt;=2,$A21&lt;&gt;0),0,IF($A21=3,OFFSET(E21,-1,0)+1,OFFSET(E21,-1,0)))</f>
        <v>0</v>
      </c>
      <c r="F21">
        <f t="shared" ref="F21:F23" ca="1" si="46">IF(AND($A21&lt;=3,$A21&lt;&gt;0),0,IF($A21=4,OFFSET(F21,-1,0)+1,OFFSET(F21,-1,0)))</f>
        <v>0</v>
      </c>
      <c r="G21">
        <f t="shared" ref="G21:G23" ca="1" si="47">IF(AND($A21&lt;=4,$A21&lt;&gt;0),0,IF($A21="S",OFFSET(G21,-1,0)+1,OFFSET(G21,-1,0)))</f>
        <v>2</v>
      </c>
      <c r="H21">
        <f t="shared" ca="1" si="7"/>
        <v>0</v>
      </c>
      <c r="I21">
        <f t="shared" ca="1" si="8"/>
        <v>0</v>
      </c>
      <c r="J21" s="395" t="s">
        <v>103</v>
      </c>
      <c r="K21" s="162" t="str">
        <f t="shared" ref="K21:K23" ca="1" si="48">IF($A21=0,"-",CONCATENATE(C21&amp;".",IF(AND($A$5&gt;=2,$A21&gt;=2),D21&amp;".",""),IF(AND($A$5&gt;=3,$A21&gt;=3),E21&amp;".",""),IF(AND($A$5&gt;=4,$A21&gt;=4),F21&amp;".",""),IF($A21="S",G21&amp;".","")))</f>
        <v>2.2.</v>
      </c>
      <c r="L21" s="396" t="s">
        <v>238</v>
      </c>
      <c r="M21" s="396" t="s">
        <v>270</v>
      </c>
      <c r="N21" s="397" t="s">
        <v>273</v>
      </c>
      <c r="O21" s="398" t="s">
        <v>263</v>
      </c>
      <c r="P21" s="399">
        <f>P16*6*0.4*0.8</f>
        <v>960</v>
      </c>
      <c r="Q21" s="228"/>
      <c r="R21" s="231" t="s">
        <v>7</v>
      </c>
      <c r="S21" s="121">
        <f t="shared" ref="S21:S26" si="49">IF($A21="S",IF($Q$10="Preço Unitário (R$)",PO.CustoUnitario,ROUND(PO.CustoUnitario*(1+$Z21),15-13*$X$6)),0)</f>
        <v>0</v>
      </c>
      <c r="T21" s="98">
        <f t="shared" ref="T21:T26" si="50">IF($A21="S",VTOTAL1,IF($A21=0,0,ROUND(SomaAgrup,15-13*$X$7)))</f>
        <v>0</v>
      </c>
      <c r="U21" s="13" t="str">
        <f t="shared" ref="U21:U23" si="51">IF($J21="","",IF($N21="","DESCRIÇÃO",IF(AND($J21="Serviço",$O21=""),"UNIDADE",IF($T21&lt;=0,"SEM VALOR",IF(AND($Y21&lt;&gt;"",$Q21&gt;$Y21),"ACIMA REF.","")))))</f>
        <v>SEM VALOR</v>
      </c>
      <c r="V21" s="4" t="str">
        <f ca="1">IF(OR($A21=0,$A21="S",$A21&gt;CFF!$A$9),"",MAX(V$12:OFFSET(V21,-1,0))+1)</f>
        <v/>
      </c>
      <c r="W21" s="9" t="str">
        <f t="shared" ref="W21:W23" si="52">IF(AND($J21="Serviço",$M21&lt;&gt;""),IF($L21="",$M21,CONCATENATE($L21,"-",$M21)))</f>
        <v>SICRO-5501706</v>
      </c>
      <c r="X21" s="4" t="e">
        <f t="shared" ref="X21:X26" ca="1" si="53">IF(AND(Fonte&lt;&gt;"",Código&lt;&gt;""),MATCH(Fonte&amp;" "&amp;IF(Fonte="sinapi",SUBSTITUTE(SUBSTITUTE(Código,"/00","/"),"/0","/"),Código),INDIRECT("'[Referência "&amp;_xlnm.Database&amp;".xls]Banco'!$a:$a"),0),"X")</f>
        <v>#N/A</v>
      </c>
      <c r="Y21" s="121">
        <v>8.07</v>
      </c>
      <c r="Z21" s="132">
        <f ca="1">ROUND(IF(ISNUMBER(R21),R21,IF(LEFT(R21,3)="BDI",HLOOKUP(R21,DADOS!$T$37:$X$38,2,FALSE),0)),15-11*$X$5)</f>
        <v>0.23</v>
      </c>
      <c r="AA21" s="4"/>
    </row>
    <row r="22" spans="1:27" x14ac:dyDescent="0.25">
      <c r="A22" t="str">
        <f t="shared" si="41"/>
        <v>S</v>
      </c>
      <c r="B22">
        <f t="shared" si="42"/>
        <v>0</v>
      </c>
      <c r="C22">
        <f t="shared" ca="1" si="43"/>
        <v>2</v>
      </c>
      <c r="D22">
        <f t="shared" ca="1" si="44"/>
        <v>0</v>
      </c>
      <c r="E22">
        <f t="shared" ca="1" si="45"/>
        <v>0</v>
      </c>
      <c r="F22">
        <f t="shared" ca="1" si="46"/>
        <v>0</v>
      </c>
      <c r="G22">
        <f t="shared" ca="1" si="47"/>
        <v>3</v>
      </c>
      <c r="H22">
        <f t="shared" ca="1" si="7"/>
        <v>0</v>
      </c>
      <c r="I22">
        <f t="shared" ca="1" si="8"/>
        <v>0</v>
      </c>
      <c r="J22" s="395" t="s">
        <v>103</v>
      </c>
      <c r="K22" s="162" t="str">
        <f t="shared" ca="1" si="48"/>
        <v>2.3.</v>
      </c>
      <c r="L22" s="396" t="s">
        <v>238</v>
      </c>
      <c r="M22" s="396" t="s">
        <v>274</v>
      </c>
      <c r="N22" s="397" t="s">
        <v>275</v>
      </c>
      <c r="O22" s="398" t="s">
        <v>263</v>
      </c>
      <c r="P22" s="399">
        <f>P16*6*0.4*0.2</f>
        <v>240</v>
      </c>
      <c r="Q22" s="228"/>
      <c r="R22" s="231" t="s">
        <v>7</v>
      </c>
      <c r="S22" s="121">
        <f t="shared" si="49"/>
        <v>0</v>
      </c>
      <c r="T22" s="98">
        <f t="shared" si="50"/>
        <v>0</v>
      </c>
      <c r="U22" s="13" t="str">
        <f t="shared" si="51"/>
        <v>SEM VALOR</v>
      </c>
      <c r="V22" s="4" t="str">
        <f ca="1">IF(OR($A22=0,$A22="S",$A22&gt;CFF!$A$9),"",MAX(V$12:OFFSET(V22,-1,0))+1)</f>
        <v/>
      </c>
      <c r="W22" s="9" t="str">
        <f t="shared" si="52"/>
        <v>SICRO-5500991</v>
      </c>
      <c r="X22" s="4" t="e">
        <f t="shared" ca="1" si="53"/>
        <v>#N/A</v>
      </c>
      <c r="Y22" s="121">
        <v>190.54</v>
      </c>
      <c r="Z22" s="132">
        <f ca="1">ROUND(IF(ISNUMBER(R22),R22,IF(LEFT(R22,3)="BDI",HLOOKUP(R22,DADOS!$T$37:$X$38,2,FALSE),0)),15-11*$X$5)</f>
        <v>0.23</v>
      </c>
      <c r="AA22" s="4"/>
    </row>
    <row r="23" spans="1:27" x14ac:dyDescent="0.25">
      <c r="A23" t="str">
        <f t="shared" si="41"/>
        <v>S</v>
      </c>
      <c r="B23">
        <f t="shared" si="42"/>
        <v>0</v>
      </c>
      <c r="C23">
        <f t="shared" ca="1" si="43"/>
        <v>2</v>
      </c>
      <c r="D23">
        <f t="shared" ca="1" si="44"/>
        <v>0</v>
      </c>
      <c r="E23">
        <f t="shared" ca="1" si="45"/>
        <v>0</v>
      </c>
      <c r="F23">
        <f t="shared" ca="1" si="46"/>
        <v>0</v>
      </c>
      <c r="G23">
        <f t="shared" ca="1" si="47"/>
        <v>4</v>
      </c>
      <c r="H23">
        <f t="shared" ca="1" si="7"/>
        <v>0</v>
      </c>
      <c r="I23">
        <f t="shared" ca="1" si="8"/>
        <v>0</v>
      </c>
      <c r="J23" s="395" t="s">
        <v>103</v>
      </c>
      <c r="K23" s="162" t="str">
        <f t="shared" ca="1" si="48"/>
        <v>2.4.</v>
      </c>
      <c r="L23" s="396" t="s">
        <v>238</v>
      </c>
      <c r="M23" s="396" t="s">
        <v>269</v>
      </c>
      <c r="N23" s="397" t="s">
        <v>271</v>
      </c>
      <c r="O23" s="398" t="s">
        <v>272</v>
      </c>
      <c r="P23" s="399">
        <f>(P21+P22)*10</f>
        <v>12000</v>
      </c>
      <c r="Q23" s="228"/>
      <c r="R23" s="231" t="s">
        <v>7</v>
      </c>
      <c r="S23" s="121">
        <f t="shared" si="49"/>
        <v>0</v>
      </c>
      <c r="T23" s="98">
        <f t="shared" si="50"/>
        <v>0</v>
      </c>
      <c r="U23" s="13" t="str">
        <f t="shared" si="51"/>
        <v>SEM VALOR</v>
      </c>
      <c r="V23" s="4" t="str">
        <f ca="1">IF(OR($A23=0,$A23="S",$A23&gt;CFF!$A$9),"",MAX(V$12:OFFSET(V23,-1,0))+1)</f>
        <v/>
      </c>
      <c r="W23" s="9" t="str">
        <f t="shared" si="52"/>
        <v>SICRO-5914389</v>
      </c>
      <c r="X23" s="4" t="e">
        <f t="shared" ca="1" si="53"/>
        <v>#N/A</v>
      </c>
      <c r="Y23" s="121">
        <v>0.98</v>
      </c>
      <c r="Z23" s="132">
        <f ca="1">ROUND(IF(ISNUMBER(R23),R23,IF(LEFT(R23,3)="BDI",HLOOKUP(R23,DADOS!$T$37:$X$38,2,FALSE),0)),15-11*$X$5)</f>
        <v>0.23</v>
      </c>
      <c r="AA23" s="4"/>
    </row>
    <row r="24" spans="1:27" x14ac:dyDescent="0.25">
      <c r="A24" t="str">
        <f>CHOOSE(1+LOG(1+2*(J24="Meta")+4*(J24="Nível 2")+8*(J24="Nível 3")+16*(J24="Nível 4")+32*(J24="Serviço"),2),0,1,2,3,4,"S")</f>
        <v>S</v>
      </c>
      <c r="B24">
        <f>IF(OR(A24="S",A24=0),0,IF(ISERROR(I24),H24,SMALL(H24:I24,1)))</f>
        <v>0</v>
      </c>
      <c r="C24">
        <f ca="1">IF($A24=1,OFFSET(C24,-1,0)+1,OFFSET(C24,-1,0))</f>
        <v>2</v>
      </c>
      <c r="D24">
        <f ca="1">IF($A24=1,0,IF($A24=2,OFFSET(D24,-1,0)+1,OFFSET(D24,-1,0)))</f>
        <v>0</v>
      </c>
      <c r="E24">
        <f ca="1">IF(AND($A24&lt;=2,$A24&lt;&gt;0),0,IF($A24=3,OFFSET(E24,-1,0)+1,OFFSET(E24,-1,0)))</f>
        <v>0</v>
      </c>
      <c r="F24">
        <f ca="1">IF(AND($A24&lt;=3,$A24&lt;&gt;0),0,IF($A24=4,OFFSET(F24,-1,0)+1,OFFSET(F24,-1,0)))</f>
        <v>0</v>
      </c>
      <c r="G24">
        <f ca="1">IF(AND($A24&lt;=4,$A24&lt;&gt;0),0,IF($A24="S",OFFSET(G24,-1,0)+1,OFFSET(G24,-1,0)))</f>
        <v>5</v>
      </c>
      <c r="H24">
        <f t="shared" ca="1" si="7"/>
        <v>0</v>
      </c>
      <c r="I24">
        <f t="shared" ca="1" si="8"/>
        <v>0</v>
      </c>
      <c r="J24" s="395" t="s">
        <v>103</v>
      </c>
      <c r="K24" s="162" t="str">
        <f ca="1">IF($A24=0,"-",CONCATENATE(C24&amp;".",IF(AND($A$5&gt;=2,$A24&gt;=2),D24&amp;".",""),IF(AND($A$5&gt;=3,$A24&gt;=3),E24&amp;".",""),IF(AND($A$5&gt;=4,$A24&gt;=4),F24&amp;".",""),IF($A24="S",G24&amp;".","")))</f>
        <v>2.5.</v>
      </c>
      <c r="L24" s="396" t="s">
        <v>238</v>
      </c>
      <c r="M24" s="396" t="s">
        <v>264</v>
      </c>
      <c r="N24" s="397" t="s">
        <v>266</v>
      </c>
      <c r="O24" s="398" t="s">
        <v>263</v>
      </c>
      <c r="P24" s="399">
        <f>2*P16*0.4*1</f>
        <v>400</v>
      </c>
      <c r="Q24" s="228"/>
      <c r="R24" s="231" t="s">
        <v>7</v>
      </c>
      <c r="S24" s="121">
        <f t="shared" si="49"/>
        <v>0</v>
      </c>
      <c r="T24" s="98">
        <f t="shared" si="50"/>
        <v>0</v>
      </c>
      <c r="U24" s="13" t="str">
        <f>IF($J24="","",IF($N24="","DESCRIÇÃO",IF(AND($J24="Serviço",$O24=""),"UNIDADE",IF($T24&lt;=0,"SEM VALOR",IF(AND($Y24&lt;&gt;"",$Q24&gt;$Y24),"ACIMA REF.","")))))</f>
        <v>SEM VALOR</v>
      </c>
      <c r="V24" s="4" t="str">
        <f ca="1">IF(OR($A24=0,$A24="S",$A24&gt;CFF!$A$9),"",MAX(V$12:OFFSET(V24,-1,0))+1)</f>
        <v/>
      </c>
      <c r="W24" s="9" t="str">
        <f>IF(AND($J24="Serviço",$M24&lt;&gt;""),IF($L24="",$M24,CONCATENATE($L24,"-",$M24)))</f>
        <v>SICRO-4805757</v>
      </c>
      <c r="X24" s="4" t="e">
        <f t="shared" ca="1" si="53"/>
        <v>#N/A</v>
      </c>
      <c r="Y24" s="121">
        <v>8.07</v>
      </c>
      <c r="Z24" s="132">
        <f ca="1">ROUND(IF(ISNUMBER(R24),R24,IF(LEFT(R24,3)="BDI",HLOOKUP(R24,DADOS!$T$37:$X$38,2,FALSE),0)),15-11*$X$5)</f>
        <v>0.23</v>
      </c>
      <c r="AA24" s="4"/>
    </row>
    <row r="25" spans="1:27" x14ac:dyDescent="0.25">
      <c r="A25" t="str">
        <f t="shared" ref="A25:A26" si="54">CHOOSE(1+LOG(1+2*(J25="Meta")+4*(J25="Nível 2")+8*(J25="Nível 3")+16*(J25="Nível 4")+32*(J25="Serviço"),2),0,1,2,3,4,"S")</f>
        <v>S</v>
      </c>
      <c r="B25">
        <f t="shared" ref="B25:B26" si="55">IF(OR(A25="S",A25=0),0,IF(ISERROR(I25),H25,SMALL(H25:I25,1)))</f>
        <v>0</v>
      </c>
      <c r="C25">
        <f t="shared" ref="C25:C26" ca="1" si="56">IF($A25=1,OFFSET(C25,-1,0)+1,OFFSET(C25,-1,0))</f>
        <v>2</v>
      </c>
      <c r="D25">
        <f t="shared" ref="D25:D26" ca="1" si="57">IF($A25=1,0,IF($A25=2,OFFSET(D25,-1,0)+1,OFFSET(D25,-1,0)))</f>
        <v>0</v>
      </c>
      <c r="E25">
        <f t="shared" ref="E25:E26" ca="1" si="58">IF(AND($A25&lt;=2,$A25&lt;&gt;0),0,IF($A25=3,OFFSET(E25,-1,0)+1,OFFSET(E25,-1,0)))</f>
        <v>0</v>
      </c>
      <c r="F25">
        <f t="shared" ref="F25:F26" ca="1" si="59">IF(AND($A25&lt;=3,$A25&lt;&gt;0),0,IF($A25=4,OFFSET(F25,-1,0)+1,OFFSET(F25,-1,0)))</f>
        <v>0</v>
      </c>
      <c r="G25">
        <f t="shared" ref="G25:G26" ca="1" si="60">IF(AND($A25&lt;=4,$A25&lt;&gt;0),0,IF($A25="S",OFFSET(G25,-1,0)+1,OFFSET(G25,-1,0)))</f>
        <v>6</v>
      </c>
      <c r="H25">
        <f t="shared" ca="1" si="7"/>
        <v>0</v>
      </c>
      <c r="I25">
        <f t="shared" ca="1" si="8"/>
        <v>0</v>
      </c>
      <c r="J25" s="395" t="s">
        <v>103</v>
      </c>
      <c r="K25" s="162" t="str">
        <f t="shared" ref="K25:K26" ca="1" si="61">IF($A25=0,"-",CONCATENATE(C25&amp;".",IF(AND($A$5&gt;=2,$A25&gt;=2),D25&amp;".",""),IF(AND($A$5&gt;=3,$A25&gt;=3),E25&amp;".",""),IF(AND($A$5&gt;=4,$A25&gt;=4),F25&amp;".",""),IF($A25="S",G25&amp;".","")))</f>
        <v>2.6.</v>
      </c>
      <c r="L25" s="396" t="s">
        <v>238</v>
      </c>
      <c r="M25" s="396" t="s">
        <v>267</v>
      </c>
      <c r="N25" s="397" t="s">
        <v>268</v>
      </c>
      <c r="O25" s="398" t="s">
        <v>263</v>
      </c>
      <c r="P25" s="399">
        <f>P24</f>
        <v>400</v>
      </c>
      <c r="Q25" s="228"/>
      <c r="R25" s="231" t="s">
        <v>7</v>
      </c>
      <c r="S25" s="121">
        <f t="shared" si="49"/>
        <v>0</v>
      </c>
      <c r="T25" s="98">
        <f t="shared" si="50"/>
        <v>0</v>
      </c>
      <c r="U25" s="13" t="str">
        <f t="shared" ref="U25:U26" si="62">IF($J25="","",IF($N25="","DESCRIÇÃO",IF(AND($J25="Serviço",$O25=""),"UNIDADE",IF($T25&lt;=0,"SEM VALOR",IF(AND($Y25&lt;&gt;"",$Q25&gt;$Y25),"ACIMA REF.","")))))</f>
        <v>SEM VALOR</v>
      </c>
      <c r="V25" s="4" t="str">
        <f ca="1">IF(OR($A25=0,$A25="S",$A25&gt;CFF!$A$9),"",MAX(V$12:OFFSET(V25,-1,0))+1)</f>
        <v/>
      </c>
      <c r="W25" s="9" t="str">
        <f t="shared" ref="W25:W26" si="63">IF(AND($J25="Serviço",$M25&lt;&gt;""),IF($L25="",$M25,CONCATENATE($L25,"-",$M25)))</f>
        <v>SICRO-4815671</v>
      </c>
      <c r="X25" s="4" t="e">
        <f t="shared" ca="1" si="53"/>
        <v>#N/A</v>
      </c>
      <c r="Y25" s="121">
        <v>21.37</v>
      </c>
      <c r="Z25" s="132">
        <f ca="1">ROUND(IF(ISNUMBER(R25),R25,IF(LEFT(R25,3)="BDI",HLOOKUP(R25,DADOS!$T$37:$X$38,2,FALSE),0)),15-11*$X$5)</f>
        <v>0.23</v>
      </c>
      <c r="AA25" s="4"/>
    </row>
    <row r="26" spans="1:27" x14ac:dyDescent="0.25">
      <c r="A26" t="str">
        <f t="shared" si="54"/>
        <v>S</v>
      </c>
      <c r="B26">
        <f t="shared" si="55"/>
        <v>0</v>
      </c>
      <c r="C26">
        <f t="shared" ca="1" si="56"/>
        <v>2</v>
      </c>
      <c r="D26">
        <f t="shared" ca="1" si="57"/>
        <v>0</v>
      </c>
      <c r="E26">
        <f t="shared" ca="1" si="58"/>
        <v>0</v>
      </c>
      <c r="F26">
        <f t="shared" ca="1" si="59"/>
        <v>0</v>
      </c>
      <c r="G26">
        <f t="shared" ca="1" si="60"/>
        <v>7</v>
      </c>
      <c r="H26">
        <f t="shared" ca="1" si="7"/>
        <v>0</v>
      </c>
      <c r="I26">
        <f t="shared" ca="1" si="8"/>
        <v>0</v>
      </c>
      <c r="J26" s="395" t="s">
        <v>103</v>
      </c>
      <c r="K26" s="162" t="str">
        <f t="shared" ca="1" si="61"/>
        <v>2.7.</v>
      </c>
      <c r="L26" s="396" t="s">
        <v>238</v>
      </c>
      <c r="M26" s="396" t="s">
        <v>269</v>
      </c>
      <c r="N26" s="397" t="s">
        <v>271</v>
      </c>
      <c r="O26" s="398" t="s">
        <v>272</v>
      </c>
      <c r="P26" s="399">
        <f>P25*10</f>
        <v>4000</v>
      </c>
      <c r="Q26" s="228"/>
      <c r="R26" s="231" t="s">
        <v>7</v>
      </c>
      <c r="S26" s="121">
        <f t="shared" si="49"/>
        <v>0</v>
      </c>
      <c r="T26" s="98">
        <f t="shared" si="50"/>
        <v>0</v>
      </c>
      <c r="U26" s="13" t="str">
        <f t="shared" si="62"/>
        <v>SEM VALOR</v>
      </c>
      <c r="V26" s="4" t="str">
        <f ca="1">IF(OR($A26=0,$A26="S",$A26&gt;CFF!$A$9),"",MAX(V$12:OFFSET(V26,-1,0))+1)</f>
        <v/>
      </c>
      <c r="W26" s="9" t="str">
        <f t="shared" si="63"/>
        <v>SICRO-5914389</v>
      </c>
      <c r="X26" s="4" t="e">
        <f t="shared" ca="1" si="53"/>
        <v>#N/A</v>
      </c>
      <c r="Y26" s="121">
        <v>0.98</v>
      </c>
      <c r="Z26" s="132">
        <f ca="1">ROUND(IF(ISNUMBER(R26),R26,IF(LEFT(R26,3)="BDI",HLOOKUP(R26,DADOS!$T$37:$X$38,2,FALSE),0)),15-11*$X$5)</f>
        <v>0.23</v>
      </c>
      <c r="AA26" s="4"/>
    </row>
    <row r="27" spans="1:27" x14ac:dyDescent="0.25">
      <c r="A27">
        <f t="shared" ref="A27" si="64">CHOOSE(1+LOG(1+2*(J27="Meta")+4*(J27="Nível 2")+8*(J27="Nível 3")+16*(J27="Nível 4")+32*(J27="Serviço"),2),0,1,2,3,4,"S")</f>
        <v>1</v>
      </c>
      <c r="B27">
        <f t="shared" ref="B27" ca="1" si="65">IF(OR(A27="S",A27=0),0,IF(ISERROR(I27),H27,SMALL(H27:I27,1)))</f>
        <v>10</v>
      </c>
      <c r="C27">
        <f t="shared" ref="C27" ca="1" si="66">IF($A27=1,OFFSET(C27,-1,0)+1,OFFSET(C27,-1,0))</f>
        <v>3</v>
      </c>
      <c r="D27">
        <f t="shared" ref="D27" ca="1" si="67">IF($A27=1,0,IF($A27=2,OFFSET(D27,-1,0)+1,OFFSET(D27,-1,0)))</f>
        <v>0</v>
      </c>
      <c r="E27">
        <f t="shared" ref="E27" ca="1" si="68">IF(AND($A27&lt;=2,$A27&lt;&gt;0),0,IF($A27=3,OFFSET(E27,-1,0)+1,OFFSET(E27,-1,0)))</f>
        <v>0</v>
      </c>
      <c r="F27">
        <f t="shared" ref="F27" ca="1" si="69">IF(AND($A27&lt;=3,$A27&lt;&gt;0),0,IF($A27=4,OFFSET(F27,-1,0)+1,OFFSET(F27,-1,0)))</f>
        <v>0</v>
      </c>
      <c r="G27">
        <f t="shared" ref="G27" ca="1" si="70">IF(AND($A27&lt;=4,$A27&lt;&gt;0),0,IF($A27="S",OFFSET(G27,-1,0)+1,OFFSET(G27,-1,0)))</f>
        <v>0</v>
      </c>
      <c r="H27">
        <f t="shared" ca="1" si="7"/>
        <v>22</v>
      </c>
      <c r="I27">
        <f t="shared" ca="1" si="8"/>
        <v>10</v>
      </c>
      <c r="J27" s="395" t="s">
        <v>99</v>
      </c>
      <c r="K27" s="162" t="str">
        <f t="shared" ref="K27" ca="1" si="71">IF($A27=0,"-",CONCATENATE(C27&amp;".",IF(AND($A$5&gt;=2,$A27&gt;=2),D27&amp;".",""),IF(AND($A$5&gt;=3,$A27&gt;=3),E27&amp;".",""),IF(AND($A$5&gt;=4,$A27&gt;=4),F27&amp;".",""),IF($A27="S",G27&amp;".","")))</f>
        <v>3.</v>
      </c>
      <c r="L27" s="396"/>
      <c r="M27" s="396"/>
      <c r="N27" s="397" t="s">
        <v>247</v>
      </c>
      <c r="O27" s="398" t="s">
        <v>106</v>
      </c>
      <c r="P27" s="399"/>
      <c r="Q27" s="228"/>
      <c r="R27" s="231" t="s">
        <v>7</v>
      </c>
      <c r="S27" s="121">
        <f t="shared" ref="S27" si="72">IF($A27="S",IF($Q$10="Preço Unitário (R$)",PO.CustoUnitario,ROUND(PO.CustoUnitario*(1+$Z27),15-13*$X$6)),0)</f>
        <v>0</v>
      </c>
      <c r="T27" s="98">
        <f t="shared" ref="T27" ca="1" si="73">IF($A27="S",VTOTAL1,IF($A27=0,0,ROUND(SomaAgrup,15-13*$X$7)))</f>
        <v>0</v>
      </c>
      <c r="U27" s="13" t="str">
        <f t="shared" ref="U27" ca="1" si="74">IF($J27="","",IF($N27="","DESCRIÇÃO",IF(AND($J27="Serviço",$O27=""),"UNIDADE",IF($T27&lt;=0,"SEM VALOR",IF(AND($Y27&lt;&gt;"",$Q27&gt;$Y27),"ACIMA REF.","")))))</f>
        <v>SEM VALOR</v>
      </c>
      <c r="V27" s="4">
        <f ca="1">IF(OR($A27=0,$A27="S",$A27&gt;CFF!$A$9),"",MAX(V$12:OFFSET(V27,-1,0))+1)</f>
        <v>3</v>
      </c>
      <c r="W27" s="9" t="b">
        <f t="shared" ref="W27" si="75">IF(AND($J27="Serviço",$M27&lt;&gt;""),IF($L27="",$M27,CONCATENATE($L27,"-",$M27)))</f>
        <v>0</v>
      </c>
      <c r="X27" s="4" t="str">
        <f t="shared" ca="1" si="27"/>
        <v>X</v>
      </c>
      <c r="Y27" s="121">
        <v>0</v>
      </c>
      <c r="Z27" s="132">
        <f ca="1">ROUND(IF(ISNUMBER(R27),R27,IF(LEFT(R27,3)="BDI",HLOOKUP(R27,DADOS!$T$37:$X$38,2,FALSE),0)),15-11*$X$5)</f>
        <v>0.23</v>
      </c>
      <c r="AA27" s="4"/>
    </row>
    <row r="28" spans="1:27" x14ac:dyDescent="0.25">
      <c r="A28" t="str">
        <f t="shared" ref="A28:A34" si="76">CHOOSE(1+LOG(1+2*(J28="Meta")+4*(J28="Nível 2")+8*(J28="Nível 3")+16*(J28="Nível 4")+32*(J28="Serviço"),2),0,1,2,3,4,"S")</f>
        <v>S</v>
      </c>
      <c r="B28">
        <f t="shared" ref="B28:B34" si="77">IF(OR(A28="S",A28=0),0,IF(ISERROR(I28),H28,SMALL(H28:I28,1)))</f>
        <v>0</v>
      </c>
      <c r="C28">
        <f t="shared" ref="C28:C34" ca="1" si="78">IF($A28=1,OFFSET(C28,-1,0)+1,OFFSET(C28,-1,0))</f>
        <v>3</v>
      </c>
      <c r="D28">
        <f t="shared" ref="D28:D34" ca="1" si="79">IF($A28=1,0,IF($A28=2,OFFSET(D28,-1,0)+1,OFFSET(D28,-1,0)))</f>
        <v>0</v>
      </c>
      <c r="E28">
        <f t="shared" ref="E28:E34" ca="1" si="80">IF(AND($A28&lt;=2,$A28&lt;&gt;0),0,IF($A28=3,OFFSET(E28,-1,0)+1,OFFSET(E28,-1,0)))</f>
        <v>0</v>
      </c>
      <c r="F28">
        <f t="shared" ref="F28:F34" ca="1" si="81">IF(AND($A28&lt;=3,$A28&lt;&gt;0),0,IF($A28=4,OFFSET(F28,-1,0)+1,OFFSET(F28,-1,0)))</f>
        <v>0</v>
      </c>
      <c r="G28">
        <f t="shared" ref="G28:G34" ca="1" si="82">IF(AND($A28&lt;=4,$A28&lt;&gt;0),0,IF($A28="S",OFFSET(G28,-1,0)+1,OFFSET(G28,-1,0)))</f>
        <v>1</v>
      </c>
      <c r="H28">
        <f t="shared" ca="1" si="7"/>
        <v>0</v>
      </c>
      <c r="I28">
        <f t="shared" ca="1" si="8"/>
        <v>0</v>
      </c>
      <c r="J28" s="395" t="s">
        <v>103</v>
      </c>
      <c r="K28" s="162" t="str">
        <f t="shared" ref="K28:K34" ca="1" si="83">IF($A28=0,"-",CONCATENATE(C28&amp;".",IF(AND($A$5&gt;=2,$A28&gt;=2),D28&amp;".",""),IF(AND($A$5&gt;=3,$A28&gt;=3),E28&amp;".",""),IF(AND($A$5&gt;=4,$A28&gt;=4),F28&amp;".",""),IF($A28="S",G28&amp;".","")))</f>
        <v>3.1.</v>
      </c>
      <c r="L28" s="396" t="s">
        <v>238</v>
      </c>
      <c r="M28" s="396" t="s">
        <v>264</v>
      </c>
      <c r="N28" s="397" t="s">
        <v>265</v>
      </c>
      <c r="O28" s="398" t="s">
        <v>263</v>
      </c>
      <c r="P28" s="399">
        <f>((1.3*1.25*P33)+(1.7*1.55*P30)+(1.5*1.5*1.5*P31)+(P34*0.5*1))*0.8</f>
        <v>487.916</v>
      </c>
      <c r="Q28" s="228"/>
      <c r="R28" s="231" t="s">
        <v>7</v>
      </c>
      <c r="S28" s="121">
        <f>IF($A28="S",IF($Q$10="Preço Unitário (R$)",PO.CustoUnitario,ROUND(PO.CustoUnitario*(1+$Z28),15-13*$X$6)),0)</f>
        <v>0</v>
      </c>
      <c r="T28" s="98">
        <f>IF($A28="S",VTOTAL1,IF($A28=0,0,ROUND(SomaAgrup,15-13*$X$7)))</f>
        <v>0</v>
      </c>
      <c r="U28" s="13" t="str">
        <f t="shared" ref="U28:U34" si="84">IF($J28="","",IF($N28="","DESCRIÇÃO",IF(AND($J28="Serviço",$O28=""),"UNIDADE",IF($T28&lt;=0,"SEM VALOR",IF(AND($Y28&lt;&gt;"",$Q28&gt;$Y28),"ACIMA REF.","")))))</f>
        <v>SEM VALOR</v>
      </c>
      <c r="V28" s="4" t="str">
        <f ca="1">IF(OR($A28=0,$A28="S",$A28&gt;CFF!$A$9),"",MAX(V$12:OFFSET(V28,-1,0))+1)</f>
        <v/>
      </c>
      <c r="W28" s="9" t="str">
        <f t="shared" ref="W28:W34" si="85">IF(AND($J28="Serviço",$M28&lt;&gt;""),IF($L28="",$M28,CONCATENATE($L28,"-",$M28)))</f>
        <v>SICRO-4805757</v>
      </c>
      <c r="X28" s="4" t="e">
        <f ca="1">IF(AND(Fonte&lt;&gt;"",Código&lt;&gt;""),MATCH(Fonte&amp;" "&amp;IF(Fonte="sinapi",SUBSTITUTE(SUBSTITUTE(Código,"/00","/"),"/0","/"),Código),INDIRECT("'[Referência "&amp;_xlnm.Database&amp;".xls]Banco'!$a:$a"),0),"X")</f>
        <v>#N/A</v>
      </c>
      <c r="Y28" s="121">
        <v>8.07</v>
      </c>
      <c r="Z28" s="132">
        <f ca="1">ROUND(IF(ISNUMBER(R28),R28,IF(LEFT(R28,3)="BDI",HLOOKUP(R28,DADOS!$T$37:$X$38,2,FALSE),0)),15-11*$X$5)</f>
        <v>0.23</v>
      </c>
      <c r="AA28" s="4"/>
    </row>
    <row r="29" spans="1:27" x14ac:dyDescent="0.25">
      <c r="A29" t="str">
        <f t="shared" si="76"/>
        <v>S</v>
      </c>
      <c r="B29">
        <f t="shared" si="77"/>
        <v>0</v>
      </c>
      <c r="C29">
        <f t="shared" ca="1" si="78"/>
        <v>3</v>
      </c>
      <c r="D29">
        <f t="shared" ca="1" si="79"/>
        <v>0</v>
      </c>
      <c r="E29">
        <f t="shared" ca="1" si="80"/>
        <v>0</v>
      </c>
      <c r="F29">
        <f t="shared" ca="1" si="81"/>
        <v>0</v>
      </c>
      <c r="G29">
        <f t="shared" ca="1" si="82"/>
        <v>2</v>
      </c>
      <c r="H29">
        <f t="shared" ca="1" si="7"/>
        <v>0</v>
      </c>
      <c r="I29">
        <f t="shared" ca="1" si="8"/>
        <v>0</v>
      </c>
      <c r="J29" s="395" t="s">
        <v>103</v>
      </c>
      <c r="K29" s="162" t="str">
        <f t="shared" ca="1" si="83"/>
        <v>3.2.</v>
      </c>
      <c r="L29" s="396" t="s">
        <v>238</v>
      </c>
      <c r="M29" s="396" t="s">
        <v>276</v>
      </c>
      <c r="N29" s="397" t="s">
        <v>277</v>
      </c>
      <c r="O29" s="398" t="s">
        <v>263</v>
      </c>
      <c r="P29" s="399">
        <f>((1.3*1.25*P33)+(1.7*1.55*P30)+(1.5*1.5*1.5*P31)+(P34*0.5*1))*0.2</f>
        <v>121.979</v>
      </c>
      <c r="Q29" s="228"/>
      <c r="R29" s="231" t="s">
        <v>7</v>
      </c>
      <c r="S29" s="121">
        <f>IF($A29="S",IF($Q$10="Preço Unitário (R$)",PO.CustoUnitario,ROUND(PO.CustoUnitario*(1+$Z29),15-13*$X$6)),0)</f>
        <v>0</v>
      </c>
      <c r="T29" s="98">
        <f>IF($A29="S",VTOTAL1,IF($A29=0,0,ROUND(SomaAgrup,15-13*$X$7)))</f>
        <v>0</v>
      </c>
      <c r="U29" s="13" t="str">
        <f t="shared" si="84"/>
        <v>SEM VALOR</v>
      </c>
      <c r="V29" s="4" t="str">
        <f ca="1">IF(OR($A29=0,$A29="S",$A29&gt;CFF!$A$9),"",MAX(V$12:OFFSET(V29,-1,0))+1)</f>
        <v/>
      </c>
      <c r="W29" s="9" t="str">
        <f t="shared" si="85"/>
        <v>SICRO-4805765</v>
      </c>
      <c r="X29" s="4" t="e">
        <f ca="1">IF(AND(Fonte&lt;&gt;"",Código&lt;&gt;""),MATCH(Fonte&amp;" "&amp;IF(Fonte="sinapi",SUBSTITUTE(SUBSTITUTE(Código,"/00","/"),"/0","/"),Código),INDIRECT("'[Referência "&amp;_xlnm.Database&amp;".xls]Banco'!$a:$a"),0),"X")</f>
        <v>#N/A</v>
      </c>
      <c r="Y29" s="121">
        <v>246.97</v>
      </c>
      <c r="Z29" s="132">
        <f ca="1">ROUND(IF(ISNUMBER(R29),R29,IF(LEFT(R29,3)="BDI",HLOOKUP(R29,DADOS!$T$37:$X$38,2,FALSE),0)),15-11*$X$5)</f>
        <v>0.23</v>
      </c>
      <c r="AA29" s="4"/>
    </row>
    <row r="30" spans="1:27" x14ac:dyDescent="0.25">
      <c r="A30" t="str">
        <f>CHOOSE(1+LOG(1+2*(J30="Meta")+4*(J30="Nível 2")+8*(J30="Nível 3")+16*(J30="Nível 4")+32*(J30="Serviço"),2),0,1,2,3,4,"S")</f>
        <v>S</v>
      </c>
      <c r="B30">
        <f>IF(OR(A30="S",A30=0),0,IF(ISERROR(I30),H30,SMALL(H30:I30,1)))</f>
        <v>0</v>
      </c>
      <c r="C30">
        <f ca="1">IF($A30=1,OFFSET(C30,-1,0)+1,OFFSET(C30,-1,0))</f>
        <v>3</v>
      </c>
      <c r="D30">
        <f ca="1">IF($A30=1,0,IF($A30=2,OFFSET(D30,-1,0)+1,OFFSET(D30,-1,0)))</f>
        <v>0</v>
      </c>
      <c r="E30">
        <f ca="1">IF(AND($A30&lt;=2,$A30&lt;&gt;0),0,IF($A30=3,OFFSET(E30,-1,0)+1,OFFSET(E30,-1,0)))</f>
        <v>0</v>
      </c>
      <c r="F30">
        <f ca="1">IF(AND($A30&lt;=3,$A30&lt;&gt;0),0,IF($A30=4,OFFSET(F30,-1,0)+1,OFFSET(F30,-1,0)))</f>
        <v>0</v>
      </c>
      <c r="G30">
        <f ca="1">IF(AND($A30&lt;=4,$A30&lt;&gt;0),0,IF($A30="S",OFFSET(G30,-1,0)+1,OFFSET(G30,-1,0)))</f>
        <v>3</v>
      </c>
      <c r="H30">
        <f t="shared" ca="1" si="7"/>
        <v>0</v>
      </c>
      <c r="I30">
        <f t="shared" ca="1" si="8"/>
        <v>0</v>
      </c>
      <c r="J30" s="395" t="s">
        <v>103</v>
      </c>
      <c r="K30" s="162" t="str">
        <f ca="1">IF($A30=0,"-",CONCATENATE(C30&amp;".",IF(AND($A$5&gt;=2,$A30&gt;=2),D30&amp;".",""),IF(AND($A$5&gt;=3,$A30&gt;=3),E30&amp;".",""),IF(AND($A$5&gt;=4,$A30&gt;=4),F30&amp;".",""),IF($A30="S",G30&amp;".","")))</f>
        <v>3.3.</v>
      </c>
      <c r="L30" s="396" t="s">
        <v>238</v>
      </c>
      <c r="M30" s="396" t="s">
        <v>296</v>
      </c>
      <c r="N30" s="397" t="s">
        <v>297</v>
      </c>
      <c r="O30" s="398" t="s">
        <v>281</v>
      </c>
      <c r="P30" s="399">
        <v>52</v>
      </c>
      <c r="Q30" s="228"/>
      <c r="R30" s="231" t="s">
        <v>7</v>
      </c>
      <c r="S30" s="121">
        <f>IF($A30="S",IF($Q$10="Preço Unitário (R$)",PO.CustoUnitario,ROUND(PO.CustoUnitario*(1+$Z30),15-13*$X$6)),0)</f>
        <v>0</v>
      </c>
      <c r="T30" s="98">
        <f>IF($A30="S",VTOTAL1,IF($A30=0,0,ROUND(SomaAgrup,15-13*$X$7)))</f>
        <v>0</v>
      </c>
      <c r="U30" s="13" t="str">
        <f>IF($J30="","",IF($N30="","DESCRIÇÃO",IF(AND($J30="Serviço",$O30=""),"UNIDADE",IF($T30&lt;=0,"SEM VALOR",IF(AND($Y30&lt;&gt;"",$Q30&gt;$Y30),"ACIMA REF.","")))))</f>
        <v>SEM VALOR</v>
      </c>
      <c r="V30" s="4" t="str">
        <f ca="1">IF(OR($A30=0,$A30="S",$A30&gt;CFF!$A$9),"",MAX(V$12:OFFSET(V30,-1,0))+1)</f>
        <v/>
      </c>
      <c r="W30" s="9" t="str">
        <f>IF(AND($J30="Serviço",$M30&lt;&gt;""),IF($L30="",$M30,CONCATENATE($L30,"-",$M30)))</f>
        <v>SICRO-2003823</v>
      </c>
      <c r="X30" s="4" t="e">
        <f ca="1">IF(AND(Fonte&lt;&gt;"",Código&lt;&gt;""),MATCH(Fonte&amp;" "&amp;IF(Fonte="sinapi",SUBSTITUTE(SUBSTITUTE(Código,"/00","/"),"/0","/"),Código),INDIRECT("'[Referência "&amp;_xlnm.Database&amp;".xls]Banco'!$a:$a"),0),"X")</f>
        <v>#N/A</v>
      </c>
      <c r="Y30" s="121">
        <v>376.98</v>
      </c>
      <c r="Z30" s="132">
        <f ca="1">ROUND(IF(ISNUMBER(R30),R30,IF(LEFT(R30,3)="BDI",HLOOKUP(R30,DADOS!$T$37:$X$38,2,FALSE),0)),15-11*$X$5)</f>
        <v>0.23</v>
      </c>
      <c r="AA30" s="4"/>
    </row>
    <row r="31" spans="1:27" x14ac:dyDescent="0.25">
      <c r="A31" t="str">
        <f t="shared" si="76"/>
        <v>S</v>
      </c>
      <c r="B31">
        <f t="shared" si="77"/>
        <v>0</v>
      </c>
      <c r="C31">
        <f t="shared" ca="1" si="78"/>
        <v>3</v>
      </c>
      <c r="D31">
        <f t="shared" ca="1" si="79"/>
        <v>0</v>
      </c>
      <c r="E31">
        <f t="shared" ca="1" si="80"/>
        <v>0</v>
      </c>
      <c r="F31">
        <f t="shared" ca="1" si="81"/>
        <v>0</v>
      </c>
      <c r="G31">
        <f t="shared" ca="1" si="82"/>
        <v>4</v>
      </c>
      <c r="H31">
        <f t="shared" ca="1" si="7"/>
        <v>0</v>
      </c>
      <c r="I31">
        <f t="shared" ca="1" si="8"/>
        <v>0</v>
      </c>
      <c r="J31" s="395" t="s">
        <v>103</v>
      </c>
      <c r="K31" s="162" t="str">
        <f t="shared" ca="1" si="83"/>
        <v>3.4.</v>
      </c>
      <c r="L31" s="396" t="s">
        <v>238</v>
      </c>
      <c r="M31" s="396" t="s">
        <v>278</v>
      </c>
      <c r="N31" s="397" t="s">
        <v>279</v>
      </c>
      <c r="O31" s="398" t="s">
        <v>280</v>
      </c>
      <c r="P31" s="399">
        <v>4</v>
      </c>
      <c r="Q31" s="228"/>
      <c r="R31" s="231" t="s">
        <v>7</v>
      </c>
      <c r="S31" s="121">
        <f t="shared" ref="S31:S36" si="86">IF($A31="S",IF($Q$10="Preço Unitário (R$)",PO.CustoUnitario,ROUND(PO.CustoUnitario*(1+$Z31),15-13*$X$6)),0)</f>
        <v>0</v>
      </c>
      <c r="T31" s="98">
        <f t="shared" ref="T31:T36" si="87">IF($A31="S",VTOTAL1,IF($A31=0,0,ROUND(SomaAgrup,15-13*$X$7)))</f>
        <v>0</v>
      </c>
      <c r="U31" s="13" t="str">
        <f t="shared" si="84"/>
        <v>SEM VALOR</v>
      </c>
      <c r="V31" s="4" t="str">
        <f ca="1">IF(OR($A31=0,$A31="S",$A31&gt;CFF!$A$9),"",MAX(V$12:OFFSET(V31,-1,0))+1)</f>
        <v/>
      </c>
      <c r="W31" s="9" t="str">
        <f t="shared" si="85"/>
        <v>SICRO-2003728</v>
      </c>
      <c r="X31" s="4" t="e">
        <f t="shared" ref="X31:X36" ca="1" si="88">IF(AND(Fonte&lt;&gt;"",Código&lt;&gt;""),MATCH(Fonte&amp;" "&amp;IF(Fonte="sinapi",SUBSTITUTE(SUBSTITUTE(Código,"/00","/"),"/0","/"),Código),INDIRECT("'[Referência "&amp;_xlnm.Database&amp;".xls]Banco'!$a:$a"),0),"X")</f>
        <v>#N/A</v>
      </c>
      <c r="Y31" s="121">
        <v>4410.62</v>
      </c>
      <c r="Z31" s="132">
        <f ca="1">ROUND(IF(ISNUMBER(R31),R31,IF(LEFT(R31,3)="BDI",HLOOKUP(R31,DADOS!$T$37:$X$38,2,FALSE),0)),15-11*$X$5)</f>
        <v>0.23</v>
      </c>
      <c r="AA31" s="4"/>
    </row>
    <row r="32" spans="1:27" x14ac:dyDescent="0.25">
      <c r="A32" t="str">
        <f t="shared" si="76"/>
        <v>S</v>
      </c>
      <c r="B32">
        <f t="shared" si="77"/>
        <v>0</v>
      </c>
      <c r="C32">
        <f t="shared" ca="1" si="78"/>
        <v>3</v>
      </c>
      <c r="D32">
        <f t="shared" ca="1" si="79"/>
        <v>0</v>
      </c>
      <c r="E32">
        <f t="shared" ca="1" si="80"/>
        <v>0</v>
      </c>
      <c r="F32">
        <f t="shared" ca="1" si="81"/>
        <v>0</v>
      </c>
      <c r="G32">
        <f t="shared" ca="1" si="82"/>
        <v>5</v>
      </c>
      <c r="H32">
        <f t="shared" ca="1" si="7"/>
        <v>0</v>
      </c>
      <c r="I32">
        <f t="shared" ca="1" si="8"/>
        <v>0</v>
      </c>
      <c r="J32" s="395" t="s">
        <v>103</v>
      </c>
      <c r="K32" s="162" t="str">
        <f t="shared" ca="1" si="83"/>
        <v>3.5.</v>
      </c>
      <c r="L32" s="396" t="s">
        <v>238</v>
      </c>
      <c r="M32" s="396" t="s">
        <v>267</v>
      </c>
      <c r="N32" s="397" t="s">
        <v>268</v>
      </c>
      <c r="O32" s="398" t="s">
        <v>263</v>
      </c>
      <c r="P32" s="399">
        <f>(3.14*0.15*0.15*P33)+(3.14*0.3*0.3*P30)+(1.4*1.4*1.2*P31)+(P34*0.3*0.5)</f>
        <v>138.98894999999999</v>
      </c>
      <c r="Q32" s="228"/>
      <c r="R32" s="231" t="s">
        <v>7</v>
      </c>
      <c r="S32" s="121">
        <f t="shared" si="86"/>
        <v>0</v>
      </c>
      <c r="T32" s="98">
        <f t="shared" si="87"/>
        <v>0</v>
      </c>
      <c r="U32" s="13" t="str">
        <f t="shared" si="84"/>
        <v>SEM VALOR</v>
      </c>
      <c r="V32" s="4" t="str">
        <f ca="1">IF(OR($A32=0,$A32="S",$A32&gt;CFF!$A$9),"",MAX(V$12:OFFSET(V32,-1,0))+1)</f>
        <v/>
      </c>
      <c r="W32" s="9" t="str">
        <f t="shared" si="85"/>
        <v>SICRO-4815671</v>
      </c>
      <c r="X32" s="4" t="e">
        <f t="shared" ca="1" si="88"/>
        <v>#N/A</v>
      </c>
      <c r="Y32" s="121">
        <v>21.37</v>
      </c>
      <c r="Z32" s="132">
        <f ca="1">ROUND(IF(ISNUMBER(R32),R32,IF(LEFT(R32,3)="BDI",HLOOKUP(R32,DADOS!$T$37:$X$38,2,FALSE),0)),15-11*$X$5)</f>
        <v>0.23</v>
      </c>
      <c r="AA32" s="4"/>
    </row>
    <row r="33" spans="1:27" x14ac:dyDescent="0.25">
      <c r="A33" t="str">
        <f t="shared" si="76"/>
        <v>S</v>
      </c>
      <c r="B33">
        <f t="shared" si="77"/>
        <v>0</v>
      </c>
      <c r="C33">
        <f t="shared" ca="1" si="78"/>
        <v>3</v>
      </c>
      <c r="D33">
        <f t="shared" ca="1" si="79"/>
        <v>0</v>
      </c>
      <c r="E33">
        <f t="shared" ca="1" si="80"/>
        <v>0</v>
      </c>
      <c r="F33">
        <f t="shared" ca="1" si="81"/>
        <v>0</v>
      </c>
      <c r="G33">
        <f t="shared" ca="1" si="82"/>
        <v>6</v>
      </c>
      <c r="H33">
        <f t="shared" ca="1" si="7"/>
        <v>0</v>
      </c>
      <c r="I33">
        <f t="shared" ca="1" si="8"/>
        <v>0</v>
      </c>
      <c r="J33" s="395" t="s">
        <v>103</v>
      </c>
      <c r="K33" s="162" t="str">
        <f t="shared" ca="1" si="83"/>
        <v>3.6.</v>
      </c>
      <c r="L33" s="396" t="s">
        <v>238</v>
      </c>
      <c r="M33" s="396" t="s">
        <v>258</v>
      </c>
      <c r="N33" s="397" t="s">
        <v>282</v>
      </c>
      <c r="O33" s="398" t="s">
        <v>281</v>
      </c>
      <c r="P33" s="399">
        <v>55</v>
      </c>
      <c r="Q33" s="228"/>
      <c r="R33" s="231" t="s">
        <v>7</v>
      </c>
      <c r="S33" s="121">
        <f t="shared" si="86"/>
        <v>0</v>
      </c>
      <c r="T33" s="98">
        <f t="shared" si="87"/>
        <v>0</v>
      </c>
      <c r="U33" s="13" t="str">
        <f t="shared" si="84"/>
        <v>SEM VALOR</v>
      </c>
      <c r="V33" s="4" t="str">
        <f ca="1">IF(OR($A33=0,$A33="S",$A33&gt;CFF!$A$9),"",MAX(V$12:OFFSET(V33,-1,0))+1)</f>
        <v/>
      </c>
      <c r="W33" s="9" t="str">
        <f t="shared" si="85"/>
        <v>SICRO-2003357</v>
      </c>
      <c r="X33" s="4" t="e">
        <f t="shared" ca="1" si="88"/>
        <v>#N/A</v>
      </c>
      <c r="Y33" s="121">
        <v>259.45999999999998</v>
      </c>
      <c r="Z33" s="132">
        <f ca="1">ROUND(IF(ISNUMBER(R33),R33,IF(LEFT(R33,3)="BDI",HLOOKUP(R33,DADOS!$T$37:$X$38,2,FALSE),0)),15-11*$X$5)</f>
        <v>0.23</v>
      </c>
      <c r="AA33" s="4"/>
    </row>
    <row r="34" spans="1:27" ht="26.4" x14ac:dyDescent="0.25">
      <c r="A34" t="str">
        <f t="shared" si="76"/>
        <v>S</v>
      </c>
      <c r="B34">
        <f t="shared" si="77"/>
        <v>0</v>
      </c>
      <c r="C34">
        <f t="shared" ca="1" si="78"/>
        <v>3</v>
      </c>
      <c r="D34">
        <f t="shared" ca="1" si="79"/>
        <v>0</v>
      </c>
      <c r="E34">
        <f t="shared" ca="1" si="80"/>
        <v>0</v>
      </c>
      <c r="F34">
        <f t="shared" ca="1" si="81"/>
        <v>0</v>
      </c>
      <c r="G34">
        <f t="shared" ca="1" si="82"/>
        <v>7</v>
      </c>
      <c r="H34">
        <f t="shared" ca="1" si="7"/>
        <v>0</v>
      </c>
      <c r="I34">
        <f t="shared" ca="1" si="8"/>
        <v>0</v>
      </c>
      <c r="J34" s="395" t="s">
        <v>103</v>
      </c>
      <c r="K34" s="162" t="str">
        <f t="shared" ca="1" si="83"/>
        <v>3.7.</v>
      </c>
      <c r="L34" s="396" t="s">
        <v>238</v>
      </c>
      <c r="M34" s="396" t="s">
        <v>283</v>
      </c>
      <c r="N34" s="397" t="s">
        <v>284</v>
      </c>
      <c r="O34" s="398" t="s">
        <v>281</v>
      </c>
      <c r="P34" s="399">
        <f>355+385</f>
        <v>740</v>
      </c>
      <c r="Q34" s="228"/>
      <c r="R34" s="231" t="s">
        <v>7</v>
      </c>
      <c r="S34" s="121">
        <f t="shared" si="86"/>
        <v>0</v>
      </c>
      <c r="T34" s="98">
        <f t="shared" si="87"/>
        <v>0</v>
      </c>
      <c r="U34" s="13" t="str">
        <f t="shared" si="84"/>
        <v>SEM VALOR</v>
      </c>
      <c r="V34" s="4" t="str">
        <f ca="1">IF(OR($A34=0,$A34="S",$A34&gt;CFF!$A$9),"",MAX(V$12:OFFSET(V34,-1,0))+1)</f>
        <v/>
      </c>
      <c r="W34" s="9" t="str">
        <f t="shared" si="85"/>
        <v>SICRO-2003267</v>
      </c>
      <c r="X34" s="4" t="e">
        <f t="shared" ca="1" si="88"/>
        <v>#N/A</v>
      </c>
      <c r="Y34" s="121">
        <v>80.02</v>
      </c>
      <c r="Z34" s="132">
        <f ca="1">ROUND(IF(ISNUMBER(R34),R34,IF(LEFT(R34,3)="BDI",HLOOKUP(R34,DADOS!$T$37:$X$38,2,FALSE),0)),15-11*$X$5)</f>
        <v>0.23</v>
      </c>
      <c r="AA34" s="4"/>
    </row>
    <row r="35" spans="1:27" x14ac:dyDescent="0.25">
      <c r="A35" t="str">
        <f t="shared" ref="A35:A36" si="89">CHOOSE(1+LOG(1+2*(J35="Meta")+4*(J35="Nível 2")+8*(J35="Nível 3")+16*(J35="Nível 4")+32*(J35="Serviço"),2),0,1,2,3,4,"S")</f>
        <v>S</v>
      </c>
      <c r="B35">
        <f t="shared" ref="B35:B36" si="90">IF(OR(A35="S",A35=0),0,IF(ISERROR(I35),H35,SMALL(H35:I35,1)))</f>
        <v>0</v>
      </c>
      <c r="C35">
        <f t="shared" ref="C35:C36" ca="1" si="91">IF($A35=1,OFFSET(C35,-1,0)+1,OFFSET(C35,-1,0))</f>
        <v>3</v>
      </c>
      <c r="D35">
        <f t="shared" ref="D35:D36" ca="1" si="92">IF($A35=1,0,IF($A35=2,OFFSET(D35,-1,0)+1,OFFSET(D35,-1,0)))</f>
        <v>0</v>
      </c>
      <c r="E35">
        <f t="shared" ref="E35:E36" ca="1" si="93">IF(AND($A35&lt;=2,$A35&lt;&gt;0),0,IF($A35=3,OFFSET(E35,-1,0)+1,OFFSET(E35,-1,0)))</f>
        <v>0</v>
      </c>
      <c r="F35">
        <f t="shared" ref="F35:F36" ca="1" si="94">IF(AND($A35&lt;=3,$A35&lt;&gt;0),0,IF($A35=4,OFFSET(F35,-1,0)+1,OFFSET(F35,-1,0)))</f>
        <v>0</v>
      </c>
      <c r="G35">
        <f t="shared" ref="G35:G36" ca="1" si="95">IF(AND($A35&lt;=4,$A35&lt;&gt;0),0,IF($A35="S",OFFSET(G35,-1,0)+1,OFFSET(G35,-1,0)))</f>
        <v>8</v>
      </c>
      <c r="H35">
        <f t="shared" ca="1" si="7"/>
        <v>0</v>
      </c>
      <c r="I35">
        <f t="shared" ca="1" si="8"/>
        <v>0</v>
      </c>
      <c r="J35" s="395" t="s">
        <v>103</v>
      </c>
      <c r="K35" s="162" t="str">
        <f t="shared" ref="K35:K36" ca="1" si="96">IF($A35=0,"-",CONCATENATE(C35&amp;".",IF(AND($A$5&gt;=2,$A35&gt;=2),D35&amp;".",""),IF(AND($A$5&gt;=3,$A35&gt;=3),E35&amp;".",""),IF(AND($A$5&gt;=4,$A35&gt;=4),F35&amp;".",""),IF($A35="S",G35&amp;".","")))</f>
        <v>3.8.</v>
      </c>
      <c r="L35" s="396" t="s">
        <v>238</v>
      </c>
      <c r="M35" s="396" t="s">
        <v>285</v>
      </c>
      <c r="N35" s="397" t="s">
        <v>286</v>
      </c>
      <c r="O35" s="398" t="s">
        <v>281</v>
      </c>
      <c r="P35" s="399">
        <v>50</v>
      </c>
      <c r="Q35" s="228"/>
      <c r="R35" s="231" t="s">
        <v>7</v>
      </c>
      <c r="S35" s="121">
        <f t="shared" si="86"/>
        <v>0</v>
      </c>
      <c r="T35" s="98">
        <f t="shared" si="87"/>
        <v>0</v>
      </c>
      <c r="U35" s="13" t="str">
        <f t="shared" ref="U35:U36" si="97">IF($J35="","",IF($N35="","DESCRIÇÃO",IF(AND($J35="Serviço",$O35=""),"UNIDADE",IF($T35&lt;=0,"SEM VALOR",IF(AND($Y35&lt;&gt;"",$Q35&gt;$Y35),"ACIMA REF.","")))))</f>
        <v>SEM VALOR</v>
      </c>
      <c r="V35" s="4" t="str">
        <f ca="1">IF(OR($A35=0,$A35="S",$A35&gt;CFF!$A$9),"",MAX(V$12:OFFSET(V35,-1,0))+1)</f>
        <v/>
      </c>
      <c r="W35" s="9" t="str">
        <f t="shared" ref="W35:W36" si="98">IF(AND($J35="Serviço",$M35&lt;&gt;""),IF($L35="",$M35,CONCATENATE($L35,"-",$M35)))</f>
        <v>SICRO-2003609</v>
      </c>
      <c r="X35" s="4" t="e">
        <f t="shared" ca="1" si="88"/>
        <v>#N/A</v>
      </c>
      <c r="Y35" s="121">
        <v>32.96</v>
      </c>
      <c r="Z35" s="132">
        <f ca="1">ROUND(IF(ISNUMBER(R35),R35,IF(LEFT(R35,3)="BDI",HLOOKUP(R35,DADOS!$T$37:$X$38,2,FALSE),0)),15-11*$X$5)</f>
        <v>0.23</v>
      </c>
      <c r="AA35" s="4"/>
    </row>
    <row r="36" spans="1:27" x14ac:dyDescent="0.25">
      <c r="A36" t="str">
        <f t="shared" si="89"/>
        <v>S</v>
      </c>
      <c r="B36">
        <f t="shared" si="90"/>
        <v>0</v>
      </c>
      <c r="C36">
        <f t="shared" ca="1" si="91"/>
        <v>3</v>
      </c>
      <c r="D36">
        <f t="shared" ca="1" si="92"/>
        <v>0</v>
      </c>
      <c r="E36">
        <f t="shared" ca="1" si="93"/>
        <v>0</v>
      </c>
      <c r="F36">
        <f t="shared" ca="1" si="94"/>
        <v>0</v>
      </c>
      <c r="G36">
        <f t="shared" ca="1" si="95"/>
        <v>9</v>
      </c>
      <c r="H36">
        <f t="shared" ca="1" si="7"/>
        <v>0</v>
      </c>
      <c r="I36">
        <f t="shared" ca="1" si="8"/>
        <v>0</v>
      </c>
      <c r="J36" s="395" t="s">
        <v>103</v>
      </c>
      <c r="K36" s="162" t="str">
        <f t="shared" ca="1" si="96"/>
        <v>3.9.</v>
      </c>
      <c r="L36" s="396" t="s">
        <v>238</v>
      </c>
      <c r="M36" s="396" t="s">
        <v>269</v>
      </c>
      <c r="N36" s="397" t="s">
        <v>271</v>
      </c>
      <c r="O36" s="398" t="s">
        <v>272</v>
      </c>
      <c r="P36" s="399">
        <f>(P28-P32+P29+(P35*0.4*0.4))*10</f>
        <v>4789.0604999999996</v>
      </c>
      <c r="Q36" s="228"/>
      <c r="R36" s="231" t="s">
        <v>7</v>
      </c>
      <c r="S36" s="121">
        <f t="shared" si="86"/>
        <v>0</v>
      </c>
      <c r="T36" s="98">
        <f t="shared" si="87"/>
        <v>0</v>
      </c>
      <c r="U36" s="13" t="str">
        <f t="shared" si="97"/>
        <v>SEM VALOR</v>
      </c>
      <c r="V36" s="4" t="str">
        <f ca="1">IF(OR($A36=0,$A36="S",$A36&gt;CFF!$A$9),"",MAX(V$12:OFFSET(V36,-1,0))+1)</f>
        <v/>
      </c>
      <c r="W36" s="9" t="str">
        <f t="shared" si="98"/>
        <v>SICRO-5914389</v>
      </c>
      <c r="X36" s="4" t="e">
        <f t="shared" ca="1" si="88"/>
        <v>#N/A</v>
      </c>
      <c r="Y36" s="121">
        <v>0.98</v>
      </c>
      <c r="Z36" s="132">
        <f ca="1">ROUND(IF(ISNUMBER(R36),R36,IF(LEFT(R36,3)="BDI",HLOOKUP(R36,DADOS!$T$37:$X$38,2,FALSE),0)),15-11*$X$5)</f>
        <v>0.23</v>
      </c>
      <c r="AA36" s="4"/>
    </row>
    <row r="37" spans="1:27" x14ac:dyDescent="0.25">
      <c r="A37">
        <f t="shared" ref="A37:A45" si="99">CHOOSE(1+LOG(1+2*(J37="Meta")+4*(J37="Nível 2")+8*(J37="Nível 3")+16*(J37="Nível 4")+32*(J37="Serviço"),2),0,1,2,3,4,"S")</f>
        <v>1</v>
      </c>
      <c r="B37">
        <f t="shared" ref="B37:B45" ca="1" si="100">IF(OR(A37="S",A37=0),0,IF(ISERROR(I37),H37,SMALL(H37:I37,1)))</f>
        <v>8</v>
      </c>
      <c r="C37">
        <f t="shared" ref="C37:C45" ca="1" si="101">IF($A37=1,OFFSET(C37,-1,0)+1,OFFSET(C37,-1,0))</f>
        <v>4</v>
      </c>
      <c r="D37">
        <f t="shared" ref="D37:D45" ca="1" si="102">IF($A37=1,0,IF($A37=2,OFFSET(D37,-1,0)+1,OFFSET(D37,-1,0)))</f>
        <v>0</v>
      </c>
      <c r="E37">
        <f t="shared" ref="E37:E45" ca="1" si="103">IF(AND($A37&lt;=2,$A37&lt;&gt;0),0,IF($A37=3,OFFSET(E37,-1,0)+1,OFFSET(E37,-1,0)))</f>
        <v>0</v>
      </c>
      <c r="F37">
        <f t="shared" ref="F37:F45" ca="1" si="104">IF(AND($A37&lt;=3,$A37&lt;&gt;0),0,IF($A37=4,OFFSET(F37,-1,0)+1,OFFSET(F37,-1,0)))</f>
        <v>0</v>
      </c>
      <c r="G37">
        <f t="shared" ref="G37:G45" ca="1" si="105">IF(AND($A37&lt;=4,$A37&lt;&gt;0),0,IF($A37="S",OFFSET(G37,-1,0)+1,OFFSET(G37,-1,0)))</f>
        <v>0</v>
      </c>
      <c r="H37">
        <f t="shared" ca="1" si="7"/>
        <v>12</v>
      </c>
      <c r="I37">
        <f t="shared" ca="1" si="8"/>
        <v>8</v>
      </c>
      <c r="J37" s="395" t="s">
        <v>99</v>
      </c>
      <c r="K37" s="162" t="str">
        <f t="shared" ref="K37:K45" ca="1" si="106">IF($A37=0,"-",CONCATENATE(C37&amp;".",IF(AND($A$5&gt;=2,$A37&gt;=2),D37&amp;".",""),IF(AND($A$5&gt;=3,$A37&gt;=3),E37&amp;".",""),IF(AND($A$5&gt;=4,$A37&gt;=4),F37&amp;".",""),IF($A37="S",G37&amp;".","")))</f>
        <v>4.</v>
      </c>
      <c r="L37" s="396"/>
      <c r="M37" s="396"/>
      <c r="N37" s="397" t="s">
        <v>248</v>
      </c>
      <c r="O37" s="398" t="s">
        <v>106</v>
      </c>
      <c r="P37" s="399"/>
      <c r="Q37" s="228"/>
      <c r="R37" s="231" t="s">
        <v>7</v>
      </c>
      <c r="S37" s="121">
        <f t="shared" si="23"/>
        <v>0</v>
      </c>
      <c r="T37" s="98">
        <f t="shared" ca="1" si="24"/>
        <v>0</v>
      </c>
      <c r="U37" s="13" t="str">
        <f t="shared" ref="U37:U45" ca="1" si="107">IF($J37="","",IF($N37="","DESCRIÇÃO",IF(AND($J37="Serviço",$O37=""),"UNIDADE",IF($T37&lt;=0,"SEM VALOR",IF(AND($Y37&lt;&gt;"",$Q37&gt;$Y37),"ACIMA REF.","")))))</f>
        <v>SEM VALOR</v>
      </c>
      <c r="V37" s="4">
        <f ca="1">IF(OR($A37=0,$A37="S",$A37&gt;CFF!$A$9),"",MAX(V$12:OFFSET(V37,-1,0))+1)</f>
        <v>4</v>
      </c>
      <c r="W37" s="9" t="b">
        <f t="shared" ref="W37:W45" si="108">IF(AND($J37="Serviço",$M37&lt;&gt;""),IF($L37="",$M37,CONCATENATE($L37,"-",$M37)))</f>
        <v>0</v>
      </c>
      <c r="X37" s="4" t="str">
        <f t="shared" ca="1" si="27"/>
        <v>X</v>
      </c>
      <c r="Y37" s="121">
        <v>0</v>
      </c>
      <c r="Z37" s="132">
        <f ca="1">ROUND(IF(ISNUMBER(R37),R37,IF(LEFT(R37,3)="BDI",HLOOKUP(R37,DADOS!$T$37:$X$38,2,FALSE),0)),15-11*$X$5)</f>
        <v>0.23</v>
      </c>
      <c r="AA37" s="4"/>
    </row>
    <row r="38" spans="1:27" x14ac:dyDescent="0.25">
      <c r="A38" t="str">
        <f t="shared" ref="A38:A42" si="109">CHOOSE(1+LOG(1+2*(J38="Meta")+4*(J38="Nível 2")+8*(J38="Nível 3")+16*(J38="Nível 4")+32*(J38="Serviço"),2),0,1,2,3,4,"S")</f>
        <v>S</v>
      </c>
      <c r="B38">
        <f t="shared" ref="B38:B42" si="110">IF(OR(A38="S",A38=0),0,IF(ISERROR(I38),H38,SMALL(H38:I38,1)))</f>
        <v>0</v>
      </c>
      <c r="C38">
        <f t="shared" ref="C38:C42" ca="1" si="111">IF($A38=1,OFFSET(C38,-1,0)+1,OFFSET(C38,-1,0))</f>
        <v>4</v>
      </c>
      <c r="D38">
        <f t="shared" ref="D38:D42" ca="1" si="112">IF($A38=1,0,IF($A38=2,OFFSET(D38,-1,0)+1,OFFSET(D38,-1,0)))</f>
        <v>0</v>
      </c>
      <c r="E38">
        <f t="shared" ref="E38:E42" ca="1" si="113">IF(AND($A38&lt;=2,$A38&lt;&gt;0),0,IF($A38=3,OFFSET(E38,-1,0)+1,OFFSET(E38,-1,0)))</f>
        <v>0</v>
      </c>
      <c r="F38">
        <f t="shared" ref="F38:F42" ca="1" si="114">IF(AND($A38&lt;=3,$A38&lt;&gt;0),0,IF($A38=4,OFFSET(F38,-1,0)+1,OFFSET(F38,-1,0)))</f>
        <v>0</v>
      </c>
      <c r="G38">
        <f t="shared" ref="G38:G42" ca="1" si="115">IF(AND($A38&lt;=4,$A38&lt;&gt;0),0,IF($A38="S",OFFSET(G38,-1,0)+1,OFFSET(G38,-1,0)))</f>
        <v>1</v>
      </c>
      <c r="H38">
        <f t="shared" ca="1" si="7"/>
        <v>0</v>
      </c>
      <c r="I38">
        <f t="shared" ca="1" si="8"/>
        <v>0</v>
      </c>
      <c r="J38" s="395" t="s">
        <v>103</v>
      </c>
      <c r="K38" s="162" t="str">
        <f t="shared" ref="K38:K42" ca="1" si="116">IF($A38=0,"-",CONCATENATE(C38&amp;".",IF(AND($A$5&gt;=2,$A38&gt;=2),D38&amp;".",""),IF(AND($A$5&gt;=3,$A38&gt;=3),E38&amp;".",""),IF(AND($A$5&gt;=4,$A38&gt;=4),F38&amp;".",""),IF($A38="S",G38&amp;".","")))</f>
        <v>4.1.</v>
      </c>
      <c r="L38" s="396" t="s">
        <v>238</v>
      </c>
      <c r="M38" s="396" t="s">
        <v>287</v>
      </c>
      <c r="N38" s="397" t="s">
        <v>288</v>
      </c>
      <c r="O38" s="398" t="s">
        <v>262</v>
      </c>
      <c r="P38" s="399">
        <f>P15</f>
        <v>4000</v>
      </c>
      <c r="Q38" s="228"/>
      <c r="R38" s="231" t="s">
        <v>7</v>
      </c>
      <c r="S38" s="121">
        <f t="shared" si="23"/>
        <v>0</v>
      </c>
      <c r="T38" s="98">
        <f t="shared" si="24"/>
        <v>0</v>
      </c>
      <c r="U38" s="13" t="str">
        <f t="shared" ref="U38:U42" si="117">IF($J38="","",IF($N38="","DESCRIÇÃO",IF(AND($J38="Serviço",$O38=""),"UNIDADE",IF($T38&lt;=0,"SEM VALOR",IF(AND($Y38&lt;&gt;"",$Q38&gt;$Y38),"ACIMA REF.","")))))</f>
        <v>SEM VALOR</v>
      </c>
      <c r="V38" s="4" t="str">
        <f ca="1">IF(OR($A38=0,$A38="S",$A38&gt;CFF!$A$9),"",MAX(V$12:OFFSET(V38,-1,0))+1)</f>
        <v/>
      </c>
      <c r="W38" s="9" t="str">
        <f t="shared" ref="W38:W42" si="118">IF(AND($J38="Serviço",$M38&lt;&gt;""),IF($L38="",$M38,CONCATENATE($L38,"-",$M38)))</f>
        <v>SICRO-4011209</v>
      </c>
      <c r="X38" s="4" t="e">
        <f t="shared" ca="1" si="27"/>
        <v>#N/A</v>
      </c>
      <c r="Y38" s="121">
        <v>1.88</v>
      </c>
      <c r="Z38" s="132">
        <f ca="1">ROUND(IF(ISNUMBER(R38),R38,IF(LEFT(R38,3)="BDI",HLOOKUP(R38,DADOS!$T$37:$X$38,2,FALSE),0)),15-11*$X$5)</f>
        <v>0.23</v>
      </c>
      <c r="AA38" s="4"/>
    </row>
    <row r="39" spans="1:27" x14ac:dyDescent="0.25">
      <c r="A39" t="str">
        <f t="shared" si="109"/>
        <v>S</v>
      </c>
      <c r="B39">
        <f t="shared" si="110"/>
        <v>0</v>
      </c>
      <c r="C39">
        <f t="shared" ca="1" si="111"/>
        <v>4</v>
      </c>
      <c r="D39">
        <f t="shared" ca="1" si="112"/>
        <v>0</v>
      </c>
      <c r="E39">
        <f t="shared" ca="1" si="113"/>
        <v>0</v>
      </c>
      <c r="F39">
        <f t="shared" ca="1" si="114"/>
        <v>0</v>
      </c>
      <c r="G39">
        <f t="shared" ca="1" si="115"/>
        <v>2</v>
      </c>
      <c r="H39">
        <f t="shared" ca="1" si="7"/>
        <v>0</v>
      </c>
      <c r="I39">
        <f t="shared" ca="1" si="8"/>
        <v>0</v>
      </c>
      <c r="J39" s="395" t="s">
        <v>103</v>
      </c>
      <c r="K39" s="162" t="str">
        <f t="shared" ca="1" si="116"/>
        <v>4.2.</v>
      </c>
      <c r="L39" s="396" t="s">
        <v>238</v>
      </c>
      <c r="M39" s="396" t="s">
        <v>289</v>
      </c>
      <c r="N39" s="397" t="s">
        <v>290</v>
      </c>
      <c r="O39" s="398" t="s">
        <v>263</v>
      </c>
      <c r="P39" s="399">
        <v>800</v>
      </c>
      <c r="Q39" s="228"/>
      <c r="R39" s="231" t="s">
        <v>7</v>
      </c>
      <c r="S39" s="121">
        <f t="shared" si="23"/>
        <v>0</v>
      </c>
      <c r="T39" s="98">
        <f t="shared" si="24"/>
        <v>0</v>
      </c>
      <c r="U39" s="13" t="str">
        <f t="shared" si="117"/>
        <v>SEM VALOR</v>
      </c>
      <c r="V39" s="4" t="str">
        <f ca="1">IF(OR($A39=0,$A39="S",$A39&gt;CFF!$A$9),"",MAX(V$12:OFFSET(V39,-1,0))+1)</f>
        <v/>
      </c>
      <c r="W39" s="9" t="str">
        <f t="shared" si="118"/>
        <v>SICRO-4011276</v>
      </c>
      <c r="X39" s="4" t="e">
        <f t="shared" ca="1" si="27"/>
        <v>#N/A</v>
      </c>
      <c r="Y39" s="121">
        <v>282.85000000000002</v>
      </c>
      <c r="Z39" s="132">
        <f ca="1">ROUND(IF(ISNUMBER(R39),R39,IF(LEFT(R39,3)="BDI",HLOOKUP(R39,DADOS!$T$37:$X$38,2,FALSE),0)),15-11*$X$5)</f>
        <v>0.23</v>
      </c>
      <c r="AA39" s="4"/>
    </row>
    <row r="40" spans="1:27" x14ac:dyDescent="0.25">
      <c r="A40" t="str">
        <f t="shared" si="109"/>
        <v>S</v>
      </c>
      <c r="B40">
        <f t="shared" si="110"/>
        <v>0</v>
      </c>
      <c r="C40">
        <f t="shared" ca="1" si="111"/>
        <v>4</v>
      </c>
      <c r="D40">
        <f t="shared" ca="1" si="112"/>
        <v>0</v>
      </c>
      <c r="E40">
        <f t="shared" ca="1" si="113"/>
        <v>0</v>
      </c>
      <c r="F40">
        <f t="shared" ca="1" si="114"/>
        <v>0</v>
      </c>
      <c r="G40">
        <f t="shared" ca="1" si="115"/>
        <v>3</v>
      </c>
      <c r="H40">
        <f t="shared" ca="1" si="7"/>
        <v>0</v>
      </c>
      <c r="I40">
        <f t="shared" ca="1" si="8"/>
        <v>0</v>
      </c>
      <c r="J40" s="395" t="s">
        <v>103</v>
      </c>
      <c r="K40" s="162" t="str">
        <f t="shared" ca="1" si="116"/>
        <v>4.3.</v>
      </c>
      <c r="L40" s="396" t="s">
        <v>238</v>
      </c>
      <c r="M40" s="396" t="s">
        <v>269</v>
      </c>
      <c r="N40" s="397" t="s">
        <v>271</v>
      </c>
      <c r="O40" s="398" t="s">
        <v>272</v>
      </c>
      <c r="P40" s="399">
        <f>P39*10</f>
        <v>8000</v>
      </c>
      <c r="Q40" s="228"/>
      <c r="R40" s="231" t="s">
        <v>7</v>
      </c>
      <c r="S40" s="121">
        <f t="shared" si="23"/>
        <v>0</v>
      </c>
      <c r="T40" s="98">
        <f t="shared" si="24"/>
        <v>0</v>
      </c>
      <c r="U40" s="13" t="str">
        <f t="shared" si="117"/>
        <v>SEM VALOR</v>
      </c>
      <c r="V40" s="4" t="str">
        <f ca="1">IF(OR($A40=0,$A40="S",$A40&gt;CFF!$A$9),"",MAX(V$12:OFFSET(V40,-1,0))+1)</f>
        <v/>
      </c>
      <c r="W40" s="9" t="str">
        <f t="shared" si="118"/>
        <v>SICRO-5914389</v>
      </c>
      <c r="X40" s="4" t="e">
        <f t="shared" ca="1" si="27"/>
        <v>#N/A</v>
      </c>
      <c r="Y40" s="121">
        <v>0.98</v>
      </c>
      <c r="Z40" s="132">
        <f ca="1">ROUND(IF(ISNUMBER(R40),R40,IF(LEFT(R40,3)="BDI",HLOOKUP(R40,DADOS!$T$37:$X$38,2,FALSE),0)),15-11*$X$5)</f>
        <v>0.23</v>
      </c>
      <c r="AA40" s="4"/>
    </row>
    <row r="41" spans="1:27" x14ac:dyDescent="0.25">
      <c r="A41" t="str">
        <f t="shared" si="109"/>
        <v>S</v>
      </c>
      <c r="B41">
        <f t="shared" si="110"/>
        <v>0</v>
      </c>
      <c r="C41">
        <f t="shared" ca="1" si="111"/>
        <v>4</v>
      </c>
      <c r="D41">
        <f t="shared" ca="1" si="112"/>
        <v>0</v>
      </c>
      <c r="E41">
        <f t="shared" ca="1" si="113"/>
        <v>0</v>
      </c>
      <c r="F41">
        <f t="shared" ca="1" si="114"/>
        <v>0</v>
      </c>
      <c r="G41">
        <f t="shared" ca="1" si="115"/>
        <v>4</v>
      </c>
      <c r="H41">
        <f t="shared" ca="1" si="7"/>
        <v>0</v>
      </c>
      <c r="I41">
        <f t="shared" ca="1" si="8"/>
        <v>0</v>
      </c>
      <c r="J41" s="395" t="s">
        <v>103</v>
      </c>
      <c r="K41" s="162" t="str">
        <f t="shared" ca="1" si="116"/>
        <v>4.4.</v>
      </c>
      <c r="L41" s="396" t="s">
        <v>236</v>
      </c>
      <c r="M41" s="396" t="s">
        <v>245</v>
      </c>
      <c r="N41" s="397" t="s">
        <v>292</v>
      </c>
      <c r="O41" s="398" t="s">
        <v>252</v>
      </c>
      <c r="P41" s="399">
        <v>3500</v>
      </c>
      <c r="Q41" s="228"/>
      <c r="R41" s="231" t="s">
        <v>7</v>
      </c>
      <c r="S41" s="121">
        <f t="shared" si="23"/>
        <v>0</v>
      </c>
      <c r="T41" s="98">
        <f t="shared" si="24"/>
        <v>0</v>
      </c>
      <c r="U41" s="13" t="str">
        <f t="shared" si="117"/>
        <v>SEM VALOR</v>
      </c>
      <c r="V41" s="4" t="str">
        <f ca="1">IF(OR($A41=0,$A41="S",$A41&gt;CFF!$A$9),"",MAX(V$12:OFFSET(V41,-1,0))+1)</f>
        <v/>
      </c>
      <c r="W41" s="9" t="str">
        <f t="shared" si="118"/>
        <v>PM BENTO-800</v>
      </c>
      <c r="X41" s="4">
        <f t="shared" ca="1" si="27"/>
        <v>100</v>
      </c>
      <c r="Y41" s="121">
        <v>8.9700000000000006</v>
      </c>
      <c r="Z41" s="132">
        <f ca="1">ROUND(IF(ISNUMBER(R41),R41,IF(LEFT(R41,3)="BDI",HLOOKUP(R41,DADOS!$T$37:$X$38,2,FALSE),0)),15-11*$X$5)</f>
        <v>0.23</v>
      </c>
      <c r="AA41" s="4"/>
    </row>
    <row r="42" spans="1:27" x14ac:dyDescent="0.25">
      <c r="A42" t="str">
        <f t="shared" si="109"/>
        <v>S</v>
      </c>
      <c r="B42">
        <f t="shared" si="110"/>
        <v>0</v>
      </c>
      <c r="C42">
        <f t="shared" ca="1" si="111"/>
        <v>4</v>
      </c>
      <c r="D42">
        <f t="shared" ca="1" si="112"/>
        <v>0</v>
      </c>
      <c r="E42">
        <f t="shared" ca="1" si="113"/>
        <v>0</v>
      </c>
      <c r="F42">
        <f t="shared" ca="1" si="114"/>
        <v>0</v>
      </c>
      <c r="G42">
        <f t="shared" ca="1" si="115"/>
        <v>5</v>
      </c>
      <c r="H42">
        <f t="shared" ca="1" si="7"/>
        <v>0</v>
      </c>
      <c r="I42">
        <f t="shared" ca="1" si="8"/>
        <v>0</v>
      </c>
      <c r="J42" s="395" t="s">
        <v>103</v>
      </c>
      <c r="K42" s="162" t="str">
        <f t="shared" ca="1" si="116"/>
        <v>4.5.</v>
      </c>
      <c r="L42" s="396" t="s">
        <v>236</v>
      </c>
      <c r="M42" s="396" t="s">
        <v>244</v>
      </c>
      <c r="N42" s="397" t="s">
        <v>255</v>
      </c>
      <c r="O42" s="398" t="s">
        <v>252</v>
      </c>
      <c r="P42" s="399">
        <f>P41</f>
        <v>3500</v>
      </c>
      <c r="Q42" s="228"/>
      <c r="R42" s="231" t="s">
        <v>7</v>
      </c>
      <c r="S42" s="121">
        <f t="shared" si="23"/>
        <v>0</v>
      </c>
      <c r="T42" s="98">
        <f t="shared" si="24"/>
        <v>0</v>
      </c>
      <c r="U42" s="13" t="str">
        <f t="shared" si="117"/>
        <v>SEM VALOR</v>
      </c>
      <c r="V42" s="4" t="str">
        <f ca="1">IF(OR($A42=0,$A42="S",$A42&gt;CFF!$A$9),"",MAX(V$12:OFFSET(V42,-1,0))+1)</f>
        <v/>
      </c>
      <c r="W42" s="9" t="str">
        <f t="shared" si="118"/>
        <v>PM BENTO-79</v>
      </c>
      <c r="X42" s="4">
        <f t="shared" ca="1" si="27"/>
        <v>83</v>
      </c>
      <c r="Y42" s="121">
        <v>3.55</v>
      </c>
      <c r="Z42" s="132">
        <f ca="1">ROUND(IF(ISNUMBER(R42),R42,IF(LEFT(R42,3)="BDI",HLOOKUP(R42,DADOS!$T$37:$X$38,2,FALSE),0)),15-11*$X$5)</f>
        <v>0.23</v>
      </c>
      <c r="AA42" s="4"/>
    </row>
    <row r="43" spans="1:27" ht="26.4" x14ac:dyDescent="0.25">
      <c r="A43" t="str">
        <f t="shared" si="99"/>
        <v>S</v>
      </c>
      <c r="B43">
        <f t="shared" si="100"/>
        <v>0</v>
      </c>
      <c r="C43">
        <f t="shared" ca="1" si="101"/>
        <v>4</v>
      </c>
      <c r="D43">
        <f t="shared" ca="1" si="102"/>
        <v>0</v>
      </c>
      <c r="E43">
        <f t="shared" ca="1" si="103"/>
        <v>0</v>
      </c>
      <c r="F43">
        <f t="shared" ca="1" si="104"/>
        <v>0</v>
      </c>
      <c r="G43">
        <f t="shared" ca="1" si="105"/>
        <v>6</v>
      </c>
      <c r="H43">
        <f t="shared" ca="1" si="7"/>
        <v>0</v>
      </c>
      <c r="I43">
        <f t="shared" ca="1" si="8"/>
        <v>0</v>
      </c>
      <c r="J43" s="395" t="s">
        <v>103</v>
      </c>
      <c r="K43" s="162" t="str">
        <f t="shared" ca="1" si="106"/>
        <v>4.6.</v>
      </c>
      <c r="L43" s="396" t="s">
        <v>236</v>
      </c>
      <c r="M43" s="396" t="s">
        <v>246</v>
      </c>
      <c r="N43" s="397" t="s">
        <v>256</v>
      </c>
      <c r="O43" s="398" t="s">
        <v>249</v>
      </c>
      <c r="P43" s="399">
        <f>P42*0.05</f>
        <v>175</v>
      </c>
      <c r="Q43" s="228"/>
      <c r="R43" s="231" t="s">
        <v>7</v>
      </c>
      <c r="S43" s="121">
        <f t="shared" si="23"/>
        <v>0</v>
      </c>
      <c r="T43" s="98">
        <f t="shared" si="24"/>
        <v>0</v>
      </c>
      <c r="U43" s="13" t="str">
        <f t="shared" si="107"/>
        <v>SEM VALOR</v>
      </c>
      <c r="V43" s="4" t="str">
        <f ca="1">IF(OR($A43=0,$A43="S",$A43&gt;CFF!$A$9),"",MAX(V$12:OFFSET(V43,-1,0))+1)</f>
        <v/>
      </c>
      <c r="W43" s="9" t="str">
        <f t="shared" si="108"/>
        <v>PM BENTO-14</v>
      </c>
      <c r="X43" s="4">
        <f t="shared" ca="1" si="27"/>
        <v>19</v>
      </c>
      <c r="Y43" s="121">
        <v>1687.26</v>
      </c>
      <c r="Z43" s="132">
        <f ca="1">ROUND(IF(ISNUMBER(R43),R43,IF(LEFT(R43,3)="BDI",HLOOKUP(R43,DADOS!$T$37:$X$38,2,FALSE),0)),15-11*$X$5)</f>
        <v>0.23</v>
      </c>
      <c r="AA43" s="4"/>
    </row>
    <row r="44" spans="1:27" x14ac:dyDescent="0.25">
      <c r="A44" t="str">
        <f>CHOOSE(1+LOG(1+2*(J44="Meta")+4*(J44="Nível 2")+8*(J44="Nível 3")+16*(J44="Nível 4")+32*(J44="Serviço"),2),0,1,2,3,4,"S")</f>
        <v>S</v>
      </c>
      <c r="B44">
        <f>IF(OR(A44="S",A44=0),0,IF(ISERROR(I44),H44,SMALL(H44:I44,1)))</f>
        <v>0</v>
      </c>
      <c r="C44">
        <f ca="1">IF($A44=1,OFFSET(C44,-1,0)+1,OFFSET(C44,-1,0))</f>
        <v>4</v>
      </c>
      <c r="D44">
        <f ca="1">IF($A44=1,0,IF($A44=2,OFFSET(D44,-1,0)+1,OFFSET(D44,-1,0)))</f>
        <v>0</v>
      </c>
      <c r="E44">
        <f ca="1">IF(AND($A44&lt;=2,$A44&lt;&gt;0),0,IF($A44=3,OFFSET(E44,-1,0)+1,OFFSET(E44,-1,0)))</f>
        <v>0</v>
      </c>
      <c r="F44">
        <f ca="1">IF(AND($A44&lt;=3,$A44&lt;&gt;0),0,IF($A44=4,OFFSET(F44,-1,0)+1,OFFSET(F44,-1,0)))</f>
        <v>0</v>
      </c>
      <c r="G44">
        <f ca="1">IF(AND($A44&lt;=4,$A44&lt;&gt;0),0,IF($A44="S",OFFSET(G44,-1,0)+1,OFFSET(G44,-1,0)))</f>
        <v>7</v>
      </c>
      <c r="H44">
        <f t="shared" ca="1" si="7"/>
        <v>0</v>
      </c>
      <c r="I44">
        <f t="shared" ca="1" si="8"/>
        <v>0</v>
      </c>
      <c r="J44" s="395" t="s">
        <v>103</v>
      </c>
      <c r="K44" s="162" t="str">
        <f ca="1">IF($A44=0,"-",CONCATENATE(C44&amp;".",IF(AND($A$5&gt;=2,$A44&gt;=2),D44&amp;".",""),IF(AND($A$5&gt;=3,$A44&gt;=3),E44&amp;".",""),IF(AND($A$5&gt;=4,$A44&gt;=4),F44&amp;".",""),IF($A44="S",G44&amp;".","")))</f>
        <v>4.7.</v>
      </c>
      <c r="L44" s="396" t="s">
        <v>238</v>
      </c>
      <c r="M44" s="396" t="s">
        <v>269</v>
      </c>
      <c r="N44" s="397" t="s">
        <v>271</v>
      </c>
      <c r="O44" s="398" t="s">
        <v>272</v>
      </c>
      <c r="P44" s="399">
        <f>P43*2.4*10</f>
        <v>4200</v>
      </c>
      <c r="Q44" s="228"/>
      <c r="R44" s="231" t="s">
        <v>7</v>
      </c>
      <c r="S44" s="121">
        <f>IF($A44="S",IF($Q$10="Preço Unitário (R$)",PO.CustoUnitario,ROUND(PO.CustoUnitario*(1+$Z44),15-13*$X$6)),0)</f>
        <v>0</v>
      </c>
      <c r="T44" s="98">
        <f>IF($A44="S",VTOTAL1,IF($A44=0,0,ROUND(SomaAgrup,15-13*$X$7)))</f>
        <v>0</v>
      </c>
      <c r="U44" s="13" t="str">
        <f>IF($J44="","",IF($N44="","DESCRIÇÃO",IF(AND($J44="Serviço",$O44=""),"UNIDADE",IF($T44&lt;=0,"SEM VALOR",IF(AND($Y44&lt;&gt;"",$Q44&gt;$Y44),"ACIMA REF.","")))))</f>
        <v>SEM VALOR</v>
      </c>
      <c r="V44" s="4" t="str">
        <f ca="1">IF(OR($A44=0,$A44="S",$A44&gt;CFF!$A$9),"",MAX(V$12:OFFSET(V44,-1,0))+1)</f>
        <v/>
      </c>
      <c r="W44" s="9" t="str">
        <f>IF(AND($J44="Serviço",$M44&lt;&gt;""),IF($L44="",$M44,CONCATENATE($L44,"-",$M44)))</f>
        <v>SICRO-5914389</v>
      </c>
      <c r="X44" s="4" t="e">
        <f ca="1">IF(AND(Fonte&lt;&gt;"",Código&lt;&gt;""),MATCH(Fonte&amp;" "&amp;IF(Fonte="sinapi",SUBSTITUTE(SUBSTITUTE(Código,"/00","/"),"/0","/"),Código),INDIRECT("'[Referência "&amp;_xlnm.Database&amp;".xls]Banco'!$a:$a"),0),"X")</f>
        <v>#N/A</v>
      </c>
      <c r="Y44" s="121">
        <v>0.98</v>
      </c>
      <c r="Z44" s="132">
        <f ca="1">ROUND(IF(ISNUMBER(R44),R44,IF(LEFT(R44,3)="BDI",HLOOKUP(R44,DADOS!$T$37:$X$38,2,FALSE),0)),15-11*$X$5)</f>
        <v>0.23</v>
      </c>
      <c r="AA44" s="4"/>
    </row>
    <row r="45" spans="1:27" x14ac:dyDescent="0.25">
      <c r="A45">
        <f t="shared" si="99"/>
        <v>1</v>
      </c>
      <c r="B45">
        <f t="shared" ca="1" si="100"/>
        <v>4</v>
      </c>
      <c r="C45">
        <f t="shared" ca="1" si="101"/>
        <v>5</v>
      </c>
      <c r="D45">
        <f t="shared" ca="1" si="102"/>
        <v>0</v>
      </c>
      <c r="E45">
        <f t="shared" ca="1" si="103"/>
        <v>0</v>
      </c>
      <c r="F45">
        <f t="shared" ca="1" si="104"/>
        <v>0</v>
      </c>
      <c r="G45">
        <f t="shared" ca="1" si="105"/>
        <v>0</v>
      </c>
      <c r="H45">
        <f t="shared" ca="1" si="7"/>
        <v>4</v>
      </c>
      <c r="I45" t="e">
        <f t="shared" ca="1" si="8"/>
        <v>#N/A</v>
      </c>
      <c r="J45" s="395" t="s">
        <v>99</v>
      </c>
      <c r="K45" s="162" t="str">
        <f t="shared" ca="1" si="106"/>
        <v>5.</v>
      </c>
      <c r="L45" s="396"/>
      <c r="M45" s="396"/>
      <c r="N45" s="397" t="s">
        <v>239</v>
      </c>
      <c r="O45" s="398" t="s">
        <v>106</v>
      </c>
      <c r="P45" s="399"/>
      <c r="Q45" s="228"/>
      <c r="R45" s="231" t="s">
        <v>7</v>
      </c>
      <c r="S45" s="121">
        <f t="shared" ref="S45" si="119">IF($A45="S",IF($Q$10="Preço Unitário (R$)",PO.CustoUnitario,ROUND(PO.CustoUnitario*(1+$Z45),15-13*$X$6)),0)</f>
        <v>0</v>
      </c>
      <c r="T45" s="98">
        <f t="shared" ref="T45" ca="1" si="120">IF($A45="S",VTOTAL1,IF($A45=0,0,ROUND(SomaAgrup,15-13*$X$7)))</f>
        <v>0</v>
      </c>
      <c r="U45" s="13" t="str">
        <f t="shared" ca="1" si="107"/>
        <v>SEM VALOR</v>
      </c>
      <c r="V45" s="4">
        <f ca="1">IF(OR($A45=0,$A45="S",$A45&gt;CFF!$A$9),"",MAX(V$12:OFFSET(V45,-1,0))+1)</f>
        <v>5</v>
      </c>
      <c r="W45" s="9" t="b">
        <f t="shared" si="108"/>
        <v>0</v>
      </c>
      <c r="X45" s="4" t="str">
        <f t="shared" ref="X45" ca="1" si="121">IF(AND(Fonte&lt;&gt;"",Código&lt;&gt;""),MATCH(Fonte&amp;" "&amp;IF(Fonte="sinapi",SUBSTITUTE(SUBSTITUTE(Código,"/00","/"),"/0","/"),Código),INDIRECT("'[Referência "&amp;_xlnm.Database&amp;".xls]Banco'!$a:$a"),0),"X")</f>
        <v>X</v>
      </c>
      <c r="Y45" s="121">
        <v>0</v>
      </c>
      <c r="Z45" s="132">
        <f ca="1">ROUND(IF(ISNUMBER(R45),R45,IF(LEFT(R45,3)="BDI",HLOOKUP(R45,DADOS!$T$37:$X$38,2,FALSE),0)),15-11*$X$5)</f>
        <v>0.23</v>
      </c>
      <c r="AA45" s="4"/>
    </row>
    <row r="46" spans="1:27" x14ac:dyDescent="0.25">
      <c r="A46" t="str">
        <f t="shared" ref="A46:A47" si="122">CHOOSE(1+LOG(1+2*(J46="Meta")+4*(J46="Nível 2")+8*(J46="Nível 3")+16*(J46="Nível 4")+32*(J46="Serviço"),2),0,1,2,3,4,"S")</f>
        <v>S</v>
      </c>
      <c r="B46">
        <f t="shared" ref="B46:B47" si="123">IF(OR(A46="S",A46=0),0,IF(ISERROR(I46),H46,SMALL(H46:I46,1)))</f>
        <v>0</v>
      </c>
      <c r="C46">
        <f t="shared" ref="C46:C47" ca="1" si="124">IF($A46=1,OFFSET(C46,-1,0)+1,OFFSET(C46,-1,0))</f>
        <v>5</v>
      </c>
      <c r="D46">
        <f t="shared" ref="D46:D47" ca="1" si="125">IF($A46=1,0,IF($A46=2,OFFSET(D46,-1,0)+1,OFFSET(D46,-1,0)))</f>
        <v>0</v>
      </c>
      <c r="E46">
        <f t="shared" ref="E46:E47" ca="1" si="126">IF(AND($A46&lt;=2,$A46&lt;&gt;0),0,IF($A46=3,OFFSET(E46,-1,0)+1,OFFSET(E46,-1,0)))</f>
        <v>0</v>
      </c>
      <c r="F46">
        <f t="shared" ref="F46:F47" ca="1" si="127">IF(AND($A46&lt;=3,$A46&lt;&gt;0),0,IF($A46=4,OFFSET(F46,-1,0)+1,OFFSET(F46,-1,0)))</f>
        <v>0</v>
      </c>
      <c r="G46">
        <f t="shared" ref="G46:G47" ca="1" si="128">IF(AND($A46&lt;=4,$A46&lt;&gt;0),0,IF($A46="S",OFFSET(G46,-1,0)+1,OFFSET(G46,-1,0)))</f>
        <v>1</v>
      </c>
      <c r="H46">
        <f t="shared" ca="1" si="7"/>
        <v>0</v>
      </c>
      <c r="I46">
        <f t="shared" ca="1" si="8"/>
        <v>0</v>
      </c>
      <c r="J46" s="395" t="s">
        <v>103</v>
      </c>
      <c r="K46" s="162" t="str">
        <f t="shared" ref="K46:K47" ca="1" si="129">IF($A46=0,"-",CONCATENATE(C46&amp;".",IF(AND($A$5&gt;=2,$A46&gt;=2),D46&amp;".",""),IF(AND($A$5&gt;=3,$A46&gt;=3),E46&amp;".",""),IF(AND($A$5&gt;=4,$A46&gt;=4),F46&amp;".",""),IF($A46="S",G46&amp;".","")))</f>
        <v>5.1.</v>
      </c>
      <c r="L46" s="396" t="s">
        <v>238</v>
      </c>
      <c r="M46" s="396" t="s">
        <v>294</v>
      </c>
      <c r="N46" s="397" t="s">
        <v>295</v>
      </c>
      <c r="O46" s="398" t="s">
        <v>262</v>
      </c>
      <c r="P46" s="399">
        <v>225</v>
      </c>
      <c r="Q46" s="228"/>
      <c r="R46" s="231" t="s">
        <v>7</v>
      </c>
      <c r="S46" s="121">
        <f>IF($A46="S",IF($Q$10="Preço Unitário (R$)",PO.CustoUnitario,ROUND(PO.CustoUnitario*(1+$Z46),15-13*$X$6)),0)</f>
        <v>0</v>
      </c>
      <c r="T46" s="98">
        <f>IF($A46="S",VTOTAL1,IF($A46=0,0,ROUND(SomaAgrup,15-13*$X$7)))</f>
        <v>0</v>
      </c>
      <c r="U46" s="13" t="str">
        <f t="shared" ref="U46:U47" si="130">IF($J46="","",IF($N46="","DESCRIÇÃO",IF(AND($J46="Serviço",$O46=""),"UNIDADE",IF($T46&lt;=0,"SEM VALOR",IF(AND($Y46&lt;&gt;"",$Q46&gt;$Y46),"ACIMA REF.","")))))</f>
        <v>SEM VALOR</v>
      </c>
      <c r="V46" s="4" t="str">
        <f ca="1">IF(OR($A46=0,$A46="S",$A46&gt;CFF!$A$9),"",MAX(V$12:OFFSET(V46,-1,0))+1)</f>
        <v/>
      </c>
      <c r="W46" s="9" t="str">
        <f t="shared" ref="W46:W47" si="131">IF(AND($J46="Serviço",$M46&lt;&gt;""),IF($L46="",$M46,CONCATENATE($L46,"-",$M46)))</f>
        <v>SICRO-5213413</v>
      </c>
      <c r="X46" s="4" t="e">
        <f ca="1">IF(AND(Fonte&lt;&gt;"",Código&lt;&gt;""),MATCH(Fonte&amp;" "&amp;IF(Fonte="sinapi",SUBSTITUTE(SUBSTITUTE(Código,"/00","/"),"/0","/"),Código),INDIRECT("'[Referência "&amp;_xlnm.Database&amp;".xls]Banco'!$a:$a"),0),"X")</f>
        <v>#N/A</v>
      </c>
      <c r="Y46" s="121">
        <v>84.5</v>
      </c>
      <c r="Z46" s="132">
        <f ca="1">ROUND(IF(ISNUMBER(R46),R46,IF(LEFT(R46,3)="BDI",HLOOKUP(R46,DADOS!$T$37:$X$38,2,FALSE),0)),15-11*$X$5)</f>
        <v>0.23</v>
      </c>
      <c r="AA46" s="4"/>
    </row>
    <row r="47" spans="1:27" x14ac:dyDescent="0.25">
      <c r="A47" t="str">
        <f t="shared" si="122"/>
        <v>S</v>
      </c>
      <c r="B47">
        <f t="shared" si="123"/>
        <v>0</v>
      </c>
      <c r="C47">
        <f t="shared" ca="1" si="124"/>
        <v>5</v>
      </c>
      <c r="D47">
        <f t="shared" ca="1" si="125"/>
        <v>0</v>
      </c>
      <c r="E47">
        <f t="shared" ca="1" si="126"/>
        <v>0</v>
      </c>
      <c r="F47">
        <f t="shared" ca="1" si="127"/>
        <v>0</v>
      </c>
      <c r="G47">
        <f t="shared" ca="1" si="128"/>
        <v>2</v>
      </c>
      <c r="H47">
        <f t="shared" ca="1" si="7"/>
        <v>0</v>
      </c>
      <c r="I47">
        <f t="shared" ca="1" si="8"/>
        <v>0</v>
      </c>
      <c r="J47" s="395" t="s">
        <v>103</v>
      </c>
      <c r="K47" s="162" t="str">
        <f t="shared" ca="1" si="129"/>
        <v>5.2.</v>
      </c>
      <c r="L47" s="396" t="s">
        <v>238</v>
      </c>
      <c r="M47" s="396" t="s">
        <v>291</v>
      </c>
      <c r="N47" s="397" t="s">
        <v>293</v>
      </c>
      <c r="O47" s="398" t="s">
        <v>280</v>
      </c>
      <c r="P47" s="399">
        <v>5</v>
      </c>
      <c r="Q47" s="228"/>
      <c r="R47" s="231" t="s">
        <v>7</v>
      </c>
      <c r="S47" s="121">
        <f>IF($A47="S",IF($Q$10="Preço Unitário (R$)",PO.CustoUnitario,ROUND(PO.CustoUnitario*(1+$Z47),15-13*$X$6)),0)</f>
        <v>0</v>
      </c>
      <c r="T47" s="98">
        <f>IF($A47="S",VTOTAL1,IF($A47=0,0,ROUND(SomaAgrup,15-13*$X$7)))</f>
        <v>0</v>
      </c>
      <c r="U47" s="13" t="str">
        <f t="shared" si="130"/>
        <v>SEM VALOR</v>
      </c>
      <c r="V47" s="4" t="str">
        <f ca="1">IF(OR($A47=0,$A47="S",$A47&gt;CFF!$A$9),"",MAX(V$12:OFFSET(V47,-1,0))+1)</f>
        <v/>
      </c>
      <c r="W47" s="9" t="str">
        <f t="shared" si="131"/>
        <v>SICRO-5213465</v>
      </c>
      <c r="X47" s="4" t="e">
        <f ca="1">IF(AND(Fonte&lt;&gt;"",Código&lt;&gt;""),MATCH(Fonte&amp;" "&amp;IF(Fonte="sinapi",SUBSTITUTE(SUBSTITUTE(Código,"/00","/"),"/0","/"),Código),INDIRECT("'[Referência "&amp;_xlnm.Database&amp;".xls]Banco'!$a:$a"),0),"X")</f>
        <v>#N/A</v>
      </c>
      <c r="Y47" s="121">
        <v>551.47</v>
      </c>
      <c r="Z47" s="132">
        <f ca="1">ROUND(IF(ISNUMBER(R47),R47,IF(LEFT(R47,3)="BDI",HLOOKUP(R47,DADOS!$T$37:$X$38,2,FALSE),0)),15-11*$X$5)</f>
        <v>0.23</v>
      </c>
      <c r="AA47" s="4"/>
    </row>
    <row r="48" spans="1:27" x14ac:dyDescent="0.25">
      <c r="A48" t="str">
        <f>CHOOSE(1+LOG(1+2*(J48="Meta")+4*(J48="Nível 2")+8*(J48="Nível 3")+16*(J48="Nível 4")+32*(J48="Serviço"),2),0,1,2,3,4,"S")</f>
        <v>S</v>
      </c>
      <c r="B48">
        <f>IF(OR(A48="S",A48=0),0,IF(ISERROR(I48),H48,SMALL(H48:I48,1)))</f>
        <v>0</v>
      </c>
      <c r="C48">
        <f ca="1">IF($A48=1,OFFSET(C48,-1,0)+1,OFFSET(C48,-1,0))</f>
        <v>5</v>
      </c>
      <c r="D48">
        <f ca="1">IF($A48=1,0,IF($A48=2,OFFSET(D48,-1,0)+1,OFFSET(D48,-1,0)))</f>
        <v>0</v>
      </c>
      <c r="E48">
        <f ca="1">IF(AND($A48&lt;=2,$A48&lt;&gt;0),0,IF($A48=3,OFFSET(E48,-1,0)+1,OFFSET(E48,-1,0)))</f>
        <v>0</v>
      </c>
      <c r="F48">
        <f ca="1">IF(AND($A48&lt;=3,$A48&lt;&gt;0),0,IF($A48=4,OFFSET(F48,-1,0)+1,OFFSET(F48,-1,0)))</f>
        <v>0</v>
      </c>
      <c r="G48">
        <f ca="1">IF(AND($A48&lt;=4,$A48&lt;&gt;0),0,IF($A48="S",OFFSET(G48,-1,0)+1,OFFSET(G48,-1,0)))</f>
        <v>3</v>
      </c>
      <c r="H48">
        <f t="shared" ca="1" si="7"/>
        <v>0</v>
      </c>
      <c r="I48">
        <f t="shared" ca="1" si="8"/>
        <v>0</v>
      </c>
      <c r="J48" s="395" t="s">
        <v>103</v>
      </c>
      <c r="K48" s="162" t="str">
        <f ca="1">IF($A48=0,"-",CONCATENATE(C48&amp;".",IF(AND($A$5&gt;=2,$A48&gt;=2),D48&amp;".",""),IF(AND($A$5&gt;=3,$A48&gt;=3),E48&amp;".",""),IF(AND($A$5&gt;=4,$A48&gt;=4),F48&amp;".",""),IF($A48="S",G48&amp;".","")))</f>
        <v>5.3.</v>
      </c>
      <c r="L48" s="396" t="s">
        <v>236</v>
      </c>
      <c r="M48" s="396" t="s">
        <v>301</v>
      </c>
      <c r="N48" s="397" t="s">
        <v>298</v>
      </c>
      <c r="O48" s="398" t="s">
        <v>251</v>
      </c>
      <c r="P48" s="399">
        <v>2</v>
      </c>
      <c r="Q48" s="228"/>
      <c r="R48" s="231" t="s">
        <v>7</v>
      </c>
      <c r="S48" s="121">
        <f>IF($A48="S",IF($Q$10="Preço Unitário (R$)",PO.CustoUnitario,ROUND(PO.CustoUnitario*(1+$Z48),15-13*$X$6)),0)</f>
        <v>0</v>
      </c>
      <c r="T48" s="98">
        <f>IF($A48="S",VTOTAL1,IF($A48=0,0,ROUND(SomaAgrup,15-13*$X$7)))</f>
        <v>0</v>
      </c>
      <c r="U48" s="13" t="str">
        <f>IF($J48="","",IF($N48="","DESCRIÇÃO",IF(AND($J48="Serviço",$O48=""),"UNIDADE",IF($T48&lt;=0,"SEM VALOR",IF(AND($Y48&lt;&gt;"",$Q48&gt;$Y48),"ACIMA REF.","")))))</f>
        <v>SEM VALOR</v>
      </c>
      <c r="V48" s="4" t="str">
        <f ca="1">IF(OR($A48=0,$A48="S",$A48&gt;CFF!$A$9),"",MAX(V$12:OFFSET(V48,-1,0))+1)</f>
        <v/>
      </c>
      <c r="W48" s="9" t="str">
        <f>IF(AND($J48="Serviço",$M48&lt;&gt;""),IF($L48="",$M48,CONCATENATE($L48,"-",$M48)))</f>
        <v>PM BENTO-801</v>
      </c>
      <c r="X48" s="4">
        <f ca="1">IF(AND(Fonte&lt;&gt;"",Código&lt;&gt;""),MATCH(Fonte&amp;" "&amp;IF(Fonte="sinapi",SUBSTITUTE(SUBSTITUTE(Código,"/00","/"),"/0","/"),Código),INDIRECT("'[Referência "&amp;_xlnm.Database&amp;".xls]Banco'!$a:$a"),0),"X")</f>
        <v>101</v>
      </c>
      <c r="Y48" s="121">
        <v>20068.900000000001</v>
      </c>
      <c r="Z48" s="132">
        <f ca="1">ROUND(IF(ISNUMBER(R48),R48,IF(LEFT(R48,3)="BDI",HLOOKUP(R48,DADOS!$T$37:$X$38,2,FALSE),0)),15-11*$X$5)</f>
        <v>0.23</v>
      </c>
      <c r="AA48" s="4"/>
    </row>
    <row r="49" spans="1:27" x14ac:dyDescent="0.25">
      <c r="A49">
        <v>-1</v>
      </c>
      <c r="C49">
        <v>0</v>
      </c>
      <c r="D49">
        <v>0</v>
      </c>
      <c r="E49">
        <v>0</v>
      </c>
      <c r="F49">
        <v>0</v>
      </c>
      <c r="G49">
        <v>0</v>
      </c>
      <c r="J49" s="83"/>
      <c r="K49" s="83"/>
      <c r="L49" s="83"/>
      <c r="M49" s="83"/>
      <c r="N49" s="83"/>
      <c r="O49" s="83"/>
      <c r="P49" s="83"/>
      <c r="Q49" s="83"/>
      <c r="R49" s="83"/>
      <c r="S49" s="83"/>
      <c r="T49" s="83"/>
      <c r="U49" s="4"/>
      <c r="V49" s="4"/>
      <c r="W49" s="4"/>
      <c r="X49" s="4"/>
      <c r="Y49" s="4"/>
      <c r="Z49" s="4"/>
      <c r="AA49" s="4"/>
    </row>
    <row r="50" spans="1:27" ht="14.25" customHeight="1" x14ac:dyDescent="0.25">
      <c r="A50" s="4"/>
      <c r="B50" s="4"/>
      <c r="C50" s="4"/>
      <c r="D50" s="4"/>
      <c r="E50" s="4"/>
      <c r="F50" s="4"/>
      <c r="G50" s="4"/>
      <c r="H50" s="4"/>
      <c r="I50" s="4"/>
      <c r="J50" s="4"/>
      <c r="K50" s="84" t="s">
        <v>62</v>
      </c>
      <c r="L50" s="4"/>
      <c r="M50" s="367" t="s">
        <v>141</v>
      </c>
      <c r="N50" s="368"/>
      <c r="O50" s="368"/>
      <c r="P50" s="368"/>
      <c r="Q50" s="368"/>
      <c r="R50" s="368"/>
      <c r="S50" s="368"/>
      <c r="T50" s="369"/>
      <c r="U50" s="4"/>
      <c r="V50" s="4"/>
      <c r="W50" s="4"/>
      <c r="X50" s="4"/>
      <c r="Y50" s="4"/>
      <c r="Z50" s="4"/>
      <c r="AA50" s="4"/>
    </row>
    <row r="51" spans="1:27"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row>
    <row r="52" spans="1:27" ht="13.8" x14ac:dyDescent="0.25">
      <c r="A52" s="4"/>
      <c r="B52" s="4"/>
      <c r="C52" s="4"/>
      <c r="D52" s="4"/>
      <c r="E52" s="4"/>
      <c r="F52" s="4"/>
      <c r="G52" s="4"/>
      <c r="H52" s="4"/>
      <c r="I52" s="4"/>
      <c r="J52" s="4"/>
      <c r="K52" s="90" t="s">
        <v>21</v>
      </c>
      <c r="L52" s="20"/>
      <c r="M52" s="20"/>
      <c r="N52" s="20"/>
      <c r="O52" s="20"/>
      <c r="P52" s="20"/>
      <c r="Q52" s="20"/>
      <c r="R52" s="20"/>
      <c r="S52" s="20"/>
      <c r="T52" s="89"/>
      <c r="U52" s="4"/>
      <c r="V52" s="4"/>
      <c r="W52" s="4"/>
      <c r="X52" s="4"/>
      <c r="Y52" s="4"/>
      <c r="Z52" s="4"/>
      <c r="AA52" s="4"/>
    </row>
    <row r="53" spans="1:27" ht="12.75" customHeight="1" x14ac:dyDescent="0.25">
      <c r="A53" s="4"/>
      <c r="B53" s="4"/>
      <c r="C53" s="4"/>
      <c r="D53" s="4"/>
      <c r="E53" s="4"/>
      <c r="F53" s="4"/>
      <c r="G53" s="4"/>
      <c r="H53" s="4"/>
      <c r="I53" s="4"/>
      <c r="J53" s="4"/>
      <c r="K53" s="361" t="s">
        <v>237</v>
      </c>
      <c r="L53" s="362"/>
      <c r="M53" s="362"/>
      <c r="N53" s="362"/>
      <c r="O53" s="362"/>
      <c r="P53" s="362"/>
      <c r="Q53" s="362"/>
      <c r="R53" s="362"/>
      <c r="S53" s="362"/>
      <c r="T53" s="363"/>
      <c r="U53" s="4"/>
      <c r="V53" s="4"/>
      <c r="W53" s="4"/>
      <c r="X53" s="4"/>
      <c r="Y53" s="4"/>
      <c r="Z53" s="4"/>
      <c r="AA53" s="4"/>
    </row>
    <row r="54" spans="1:27" x14ac:dyDescent="0.25">
      <c r="A54" s="4"/>
      <c r="B54" s="4"/>
      <c r="C54" s="4"/>
      <c r="D54" s="4"/>
      <c r="E54" s="4"/>
      <c r="F54" s="4"/>
      <c r="G54" s="4"/>
      <c r="H54" s="4"/>
      <c r="I54" s="4"/>
      <c r="J54" s="4"/>
      <c r="K54" s="361"/>
      <c r="L54" s="362"/>
      <c r="M54" s="362"/>
      <c r="N54" s="362"/>
      <c r="O54" s="362"/>
      <c r="P54" s="362"/>
      <c r="Q54" s="362"/>
      <c r="R54" s="362"/>
      <c r="S54" s="362"/>
      <c r="T54" s="363"/>
      <c r="U54" s="4"/>
      <c r="V54" s="4"/>
      <c r="W54" s="4"/>
      <c r="X54" s="4"/>
      <c r="Y54" s="4"/>
      <c r="Z54" s="4"/>
      <c r="AA54" s="4"/>
    </row>
    <row r="55" spans="1:27" x14ac:dyDescent="0.25">
      <c r="A55" s="4"/>
      <c r="B55" s="4"/>
      <c r="C55" s="4"/>
      <c r="D55" s="4"/>
      <c r="E55" s="4"/>
      <c r="F55" s="4"/>
      <c r="G55" s="4"/>
      <c r="H55" s="4"/>
      <c r="I55" s="4"/>
      <c r="J55" s="4"/>
      <c r="K55" s="364"/>
      <c r="L55" s="365"/>
      <c r="M55" s="365"/>
      <c r="N55" s="365"/>
      <c r="O55" s="365"/>
      <c r="P55" s="365"/>
      <c r="Q55" s="365"/>
      <c r="R55" s="365"/>
      <c r="S55" s="365"/>
      <c r="T55" s="366"/>
      <c r="U55" s="4"/>
      <c r="V55" s="4"/>
      <c r="W55" s="4"/>
      <c r="X55" s="4"/>
      <c r="Y55" s="4"/>
      <c r="Z55" s="4"/>
      <c r="AA55" s="4"/>
    </row>
    <row r="56" spans="1:27" ht="13.8" x14ac:dyDescent="0.25">
      <c r="A56" s="4"/>
      <c r="B56" s="4"/>
      <c r="C56" s="4"/>
      <c r="D56" s="4"/>
      <c r="E56" s="4"/>
      <c r="F56" s="4"/>
      <c r="G56" s="4"/>
      <c r="H56" s="4"/>
      <c r="I56" s="4"/>
      <c r="J56" s="4"/>
      <c r="K56" s="213"/>
      <c r="L56" s="213"/>
      <c r="M56" s="213"/>
      <c r="N56" s="213"/>
      <c r="O56" s="213"/>
      <c r="P56" s="213"/>
      <c r="Q56" s="213"/>
      <c r="R56" s="213"/>
      <c r="S56" s="213"/>
      <c r="T56" s="213"/>
      <c r="U56" s="4"/>
      <c r="V56" s="4"/>
      <c r="W56" s="4"/>
      <c r="X56" s="4"/>
      <c r="Y56" s="4"/>
      <c r="Z56" s="4"/>
      <c r="AA56" s="4"/>
    </row>
    <row r="57" spans="1:27" ht="13.8" x14ac:dyDescent="0.25">
      <c r="A57" s="4"/>
      <c r="B57" s="4"/>
      <c r="C57" s="4"/>
      <c r="D57" s="4"/>
      <c r="E57" s="4"/>
      <c r="F57" s="4"/>
      <c r="G57" s="4"/>
      <c r="H57" s="4"/>
      <c r="I57" s="4"/>
      <c r="J57" s="4"/>
      <c r="K57" s="358"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57" s="359"/>
      <c r="M57" s="359"/>
      <c r="N57" s="359"/>
      <c r="O57" s="359"/>
      <c r="P57" s="359"/>
      <c r="Q57" s="359"/>
      <c r="R57" s="359"/>
      <c r="S57" s="359"/>
      <c r="T57" s="360"/>
      <c r="U57" s="4"/>
      <c r="V57" s="4"/>
      <c r="W57" s="4"/>
      <c r="X57" s="4"/>
      <c r="Y57" s="4"/>
      <c r="Z57" s="4"/>
      <c r="AA57" s="4"/>
    </row>
    <row r="58" spans="1:27"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row>
    <row r="59" spans="1:27" ht="21"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row>
    <row r="60" spans="1:27" x14ac:dyDescent="0.25">
      <c r="A60" s="4"/>
      <c r="B60" s="4"/>
      <c r="C60" s="4"/>
      <c r="D60" s="4"/>
      <c r="E60" s="4"/>
      <c r="F60" s="4"/>
      <c r="G60" s="4"/>
      <c r="H60" s="4"/>
      <c r="I60" s="4"/>
      <c r="J60" s="4"/>
      <c r="K60" s="371" t="str">
        <f>Import.Município</f>
        <v>BENTO GONÇALVES/RS</v>
      </c>
      <c r="L60" s="371"/>
      <c r="M60" s="371"/>
      <c r="N60" s="4"/>
      <c r="O60" s="4"/>
      <c r="P60" s="4"/>
      <c r="Q60" s="4"/>
      <c r="R60" s="4"/>
      <c r="S60" s="4"/>
      <c r="T60" s="4"/>
      <c r="U60" s="4"/>
      <c r="V60" s="4"/>
      <c r="W60" s="4"/>
      <c r="X60" s="4"/>
      <c r="Y60" s="4"/>
      <c r="Z60" s="4"/>
      <c r="AA60" s="4"/>
    </row>
    <row r="61" spans="1:27" x14ac:dyDescent="0.25">
      <c r="A61" s="4"/>
      <c r="B61" s="4"/>
      <c r="C61" s="4"/>
      <c r="D61" s="4"/>
      <c r="E61" s="4"/>
      <c r="F61" s="4"/>
      <c r="G61" s="4"/>
      <c r="H61" s="4"/>
      <c r="I61" s="4"/>
      <c r="J61" s="4"/>
      <c r="K61" s="112" t="s">
        <v>120</v>
      </c>
      <c r="L61" s="4"/>
      <c r="M61" s="4"/>
      <c r="N61" s="4"/>
      <c r="O61" s="4"/>
      <c r="P61" s="4"/>
      <c r="Q61" s="4"/>
      <c r="R61" s="4"/>
      <c r="S61" s="4"/>
      <c r="T61" s="4"/>
      <c r="U61" s="4"/>
      <c r="V61" s="4"/>
      <c r="W61" s="4"/>
      <c r="X61" s="4"/>
      <c r="Y61" s="4"/>
      <c r="Z61" s="4"/>
      <c r="AA61" s="4"/>
    </row>
    <row r="62" spans="1:27"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row>
    <row r="63" spans="1:27" x14ac:dyDescent="0.25">
      <c r="A63" s="4"/>
      <c r="B63" s="4"/>
      <c r="C63" s="4"/>
      <c r="D63" s="4"/>
      <c r="E63" s="4"/>
      <c r="F63" s="4"/>
      <c r="G63" s="4"/>
      <c r="H63" s="4"/>
      <c r="I63" s="4"/>
      <c r="J63" s="4"/>
      <c r="K63" s="370">
        <f ca="1">TODAY()</f>
        <v>45799</v>
      </c>
      <c r="L63" s="370"/>
      <c r="M63" s="370"/>
      <c r="N63" s="4"/>
      <c r="O63" s="4"/>
      <c r="P63" s="4"/>
      <c r="Q63" s="4"/>
      <c r="R63" s="4"/>
      <c r="S63" s="4"/>
      <c r="T63" s="4"/>
      <c r="U63" s="4"/>
      <c r="V63" s="4"/>
      <c r="W63" s="4"/>
      <c r="X63" s="4"/>
      <c r="Y63" s="4"/>
      <c r="Z63" s="4"/>
      <c r="AA63" s="4"/>
    </row>
    <row r="64" spans="1:27" x14ac:dyDescent="0.25">
      <c r="A64" s="4"/>
      <c r="B64" s="4"/>
      <c r="C64" s="4"/>
      <c r="D64" s="4"/>
      <c r="E64" s="4"/>
      <c r="F64" s="4"/>
      <c r="G64" s="4"/>
      <c r="H64" s="4"/>
      <c r="I64" s="4"/>
      <c r="J64" s="4"/>
      <c r="K64" s="141" t="s">
        <v>121</v>
      </c>
      <c r="L64" s="83"/>
      <c r="M64" s="83"/>
      <c r="N64" s="4"/>
      <c r="O64" s="4"/>
      <c r="P64" s="4"/>
      <c r="Q64" s="4"/>
      <c r="R64" s="4"/>
      <c r="S64" s="4"/>
      <c r="T64" s="4"/>
      <c r="U64" s="4"/>
      <c r="V64" s="4"/>
      <c r="W64" s="4"/>
      <c r="X64" s="4"/>
      <c r="Y64" s="4"/>
      <c r="Z64" s="4"/>
      <c r="AA64" s="4"/>
    </row>
  </sheetData>
  <sheetProtection password="C95B" sheet="1" objects="1" scenarios="1"/>
  <mergeCells count="6">
    <mergeCell ref="W2:X2"/>
    <mergeCell ref="K57:T57"/>
    <mergeCell ref="K53:T55"/>
    <mergeCell ref="M50:T50"/>
    <mergeCell ref="K63:M63"/>
    <mergeCell ref="K60:M60"/>
  </mergeCells>
  <phoneticPr fontId="25" type="noConversion"/>
  <conditionalFormatting sqref="O12:R12 L12:M12">
    <cfRule type="expression" dxfId="267" priority="6590" stopIfTrue="1">
      <formula>$J12=$C$2</formula>
    </cfRule>
    <cfRule type="expression" dxfId="266" priority="6591" stopIfTrue="1">
      <formula>UPPER(LEFT($J12,5))="NÍVEL"</formula>
    </cfRule>
    <cfRule type="expression" dxfId="265" priority="6592" stopIfTrue="1">
      <formula>$J12=$C$8</formula>
    </cfRule>
  </conditionalFormatting>
  <conditionalFormatting sqref="Y12:Z12 S12:T12 K12">
    <cfRule type="expression" dxfId="264" priority="6593" stopIfTrue="1">
      <formula>$J12=$C$2</formula>
    </cfRule>
    <cfRule type="expression" dxfId="263" priority="6594" stopIfTrue="1">
      <formula>UPPER(LEFT($J12,5))="NÍVEL"</formula>
    </cfRule>
  </conditionalFormatting>
  <conditionalFormatting sqref="K11 K13:K48">
    <cfRule type="expression" dxfId="262" priority="6606" stopIfTrue="1">
      <formula>$J11=$C$2</formula>
    </cfRule>
    <cfRule type="expression" dxfId="261" priority="6607" stopIfTrue="1">
      <formula>AND($J11&lt;&gt;"",$J11&lt;&gt;"Serviço")</formula>
    </cfRule>
    <cfRule type="expression" dxfId="260" priority="6608" stopIfTrue="1">
      <formula>$J11=""</formula>
    </cfRule>
  </conditionalFormatting>
  <conditionalFormatting sqref="P11 P13:P48">
    <cfRule type="expression" dxfId="259" priority="4933" stopIfTrue="1">
      <formula>$J11=$C$2</formula>
    </cfRule>
    <cfRule type="expression" dxfId="258" priority="6612" stopIfTrue="1">
      <formula>AND($J11&lt;&gt;"Serviço")</formula>
    </cfRule>
    <cfRule type="expression" dxfId="257" priority="6613" stopIfTrue="1">
      <formula>CELL("proteger",P11)</formula>
    </cfRule>
  </conditionalFormatting>
  <conditionalFormatting sqref="Q11:R11 Q13:R48">
    <cfRule type="expression" dxfId="256" priority="6614" stopIfTrue="1">
      <formula>$J11=$C$2</formula>
    </cfRule>
    <cfRule type="expression" dxfId="255" priority="6615" stopIfTrue="1">
      <formula>$J11&lt;&gt;"Serviço"</formula>
    </cfRule>
    <cfRule type="expression" dxfId="254" priority="6616" stopIfTrue="1">
      <formula>CELL("proteger",Q11)</formula>
    </cfRule>
  </conditionalFormatting>
  <conditionalFormatting sqref="S11:T11 Y11:Z11 Y13:Z48 S13:T48">
    <cfRule type="expression" dxfId="253" priority="6617" stopIfTrue="1">
      <formula>$J11=$C$2</formula>
    </cfRule>
    <cfRule type="expression" dxfId="252" priority="6618" stopIfTrue="1">
      <formula>$J11&lt;&gt;"Serviço"</formula>
    </cfRule>
  </conditionalFormatting>
  <conditionalFormatting sqref="L11:M11 L13:M48">
    <cfRule type="expression" dxfId="251" priority="6638" stopIfTrue="1">
      <formula>$J11=$C$2</formula>
    </cfRule>
    <cfRule type="expression" dxfId="250" priority="6639" stopIfTrue="1">
      <formula>$J11&lt;&gt;"Serviço"</formula>
    </cfRule>
    <cfRule type="expression" dxfId="249" priority="6640" stopIfTrue="1">
      <formula>OR(CELL("proteger",L11),$J11="",TipoOrçamento="Licitado")</formula>
    </cfRule>
  </conditionalFormatting>
  <conditionalFormatting sqref="K50:T50">
    <cfRule type="expression" dxfId="248" priority="6619" stopIfTrue="1">
      <formula>OR(Tipo.Orçamento="LICITADO",Tipo.Orçamento="REPROGRAMADOAC")</formula>
    </cfRule>
    <cfRule type="expression" dxfId="247" priority="6620" stopIfTrue="1">
      <formula>$M$50=""</formula>
    </cfRule>
  </conditionalFormatting>
  <conditionalFormatting sqref="J11 J13 J45 J27 J21 J41:J43 J47 J35:J37">
    <cfRule type="expression" dxfId="246" priority="6647" stopIfTrue="1">
      <formula>TipoOrçamento="Licitado"</formula>
    </cfRule>
  </conditionalFormatting>
  <conditionalFormatting sqref="O11 O13:O48">
    <cfRule type="expression" dxfId="245" priority="4953" stopIfTrue="1">
      <formula>$J11=$C$2</formula>
    </cfRule>
    <cfRule type="expression" dxfId="244" priority="4954" stopIfTrue="1">
      <formula>AND($J11&lt;&gt;"Serviço")</formula>
    </cfRule>
    <cfRule type="expression" dxfId="243" priority="4955" stopIfTrue="1">
      <formula>CELL("proteger",O11)</formula>
    </cfRule>
  </conditionalFormatting>
  <conditionalFormatting sqref="N11 N13:N48">
    <cfRule type="expression" dxfId="242" priority="4956" stopIfTrue="1">
      <formula>$J11=$C$2</formula>
    </cfRule>
    <cfRule type="expression" dxfId="241" priority="4957" stopIfTrue="1">
      <formula>$J11&lt;&gt;"Serviço"</formula>
    </cfRule>
    <cfRule type="expression" dxfId="240" priority="4958" stopIfTrue="1">
      <formula>CELL("proteger",N11)</formula>
    </cfRule>
  </conditionalFormatting>
  <conditionalFormatting sqref="J17">
    <cfRule type="expression" dxfId="239" priority="1923" stopIfTrue="1">
      <formula>TipoOrçamento="Licitado"</formula>
    </cfRule>
  </conditionalFormatting>
  <conditionalFormatting sqref="J19">
    <cfRule type="expression" dxfId="238" priority="1797" stopIfTrue="1">
      <formula>TipoOrçamento="Licitado"</formula>
    </cfRule>
  </conditionalFormatting>
  <conditionalFormatting sqref="J15:J16">
    <cfRule type="expression" dxfId="237" priority="1776" stopIfTrue="1">
      <formula>TipoOrçamento="Licitado"</formula>
    </cfRule>
  </conditionalFormatting>
  <conditionalFormatting sqref="J18">
    <cfRule type="expression" dxfId="236" priority="1383" stopIfTrue="1">
      <formula>TipoOrçamento="Licitado"</formula>
    </cfRule>
  </conditionalFormatting>
  <conditionalFormatting sqref="J14">
    <cfRule type="expression" dxfId="235" priority="1026" stopIfTrue="1">
      <formula>TipoOrçamento="Licitado"</formula>
    </cfRule>
  </conditionalFormatting>
  <conditionalFormatting sqref="J20">
    <cfRule type="expression" dxfId="234" priority="879" stopIfTrue="1">
      <formula>TipoOrçamento="Licitado"</formula>
    </cfRule>
  </conditionalFormatting>
  <conditionalFormatting sqref="J24">
    <cfRule type="expression" dxfId="233" priority="651" stopIfTrue="1">
      <formula>TipoOrçamento="Licitado"</formula>
    </cfRule>
  </conditionalFormatting>
  <conditionalFormatting sqref="J25:J26">
    <cfRule type="expression" dxfId="232" priority="627" stopIfTrue="1">
      <formula>TipoOrçamento="Licitado"</formula>
    </cfRule>
  </conditionalFormatting>
  <conditionalFormatting sqref="J22:J23">
    <cfRule type="expression" dxfId="231" priority="552" stopIfTrue="1">
      <formula>TipoOrçamento="Licitado"</formula>
    </cfRule>
  </conditionalFormatting>
  <conditionalFormatting sqref="J28">
    <cfRule type="expression" dxfId="230" priority="507" stopIfTrue="1">
      <formula>TipoOrçamento="Licitado"</formula>
    </cfRule>
  </conditionalFormatting>
  <conditionalFormatting sqref="J29">
    <cfRule type="expression" dxfId="229" priority="486" stopIfTrue="1">
      <formula>TipoOrçamento="Licitado"</formula>
    </cfRule>
  </conditionalFormatting>
  <conditionalFormatting sqref="J31">
    <cfRule type="expression" dxfId="228" priority="441" stopIfTrue="1">
      <formula>TipoOrçamento="Licitado"</formula>
    </cfRule>
  </conditionalFormatting>
  <conditionalFormatting sqref="J32">
    <cfRule type="expression" dxfId="227" priority="420" stopIfTrue="1">
      <formula>TipoOrçamento="Licitado"</formula>
    </cfRule>
  </conditionalFormatting>
  <conditionalFormatting sqref="J33">
    <cfRule type="expression" dxfId="226" priority="378" stopIfTrue="1">
      <formula>TipoOrçamento="Licitado"</formula>
    </cfRule>
  </conditionalFormatting>
  <conditionalFormatting sqref="J34">
    <cfRule type="expression" dxfId="225" priority="357" stopIfTrue="1">
      <formula>TipoOrçamento="Licitado"</formula>
    </cfRule>
  </conditionalFormatting>
  <conditionalFormatting sqref="J38:J40">
    <cfRule type="expression" dxfId="224" priority="294" stopIfTrue="1">
      <formula>TipoOrçamento="Licitado"</formula>
    </cfRule>
  </conditionalFormatting>
  <conditionalFormatting sqref="J46">
    <cfRule type="expression" dxfId="223" priority="246" stopIfTrue="1">
      <formula>TipoOrçamento="Licitado"</formula>
    </cfRule>
  </conditionalFormatting>
  <conditionalFormatting sqref="J48">
    <cfRule type="expression" dxfId="222" priority="225" stopIfTrue="1">
      <formula>TipoOrçamento="Licitado"</formula>
    </cfRule>
  </conditionalFormatting>
  <conditionalFormatting sqref="J44">
    <cfRule type="expression" dxfId="221" priority="129" stopIfTrue="1">
      <formula>TipoOrçamento="Licitado"</formula>
    </cfRule>
  </conditionalFormatting>
  <conditionalFormatting sqref="J30">
    <cfRule type="expression" dxfId="220" priority="66" stopIfTrue="1">
      <formula>TipoOrçamento="Licitado"</formula>
    </cfRule>
  </conditionalFormatting>
  <dataValidations count="3">
    <dataValidation type="decimal" operator="greaterThan" allowBlank="1" showInputMessage="1" showErrorMessage="1" error="Apenas números decimais maiores que zero." sqref="Q11 Q13:Q48">
      <formula1>0</formula1>
    </dataValidation>
    <dataValidation type="list" errorStyle="warning" allowBlank="1" showInputMessage="1" showErrorMessage="1" error="Selecione um dos 5 BDI da lista._x000a__x000a_Caso tenha mais de 5 BDI nesta Planilha Orçamentária digite apenas valor percentual." sqref="R11 R13:R48">
      <formula1>Dados.Lista.BDI</formula1>
    </dataValidation>
    <dataValidation type="list" showInputMessage="1" showErrorMessage="1" errorTitle="Erro de Entrada" error="Selecione somente os itens da lista." promptTitle="Nível:" prompt="Selecione na lista o nível de itemização da Planilha." sqref="J11 J14:J48">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Header>&amp;C&amp;14I</oddHeader>
    <oddFooter>&amp;R&amp;P&amp;L27.476 v008   micro</oddFooter>
  </headerFooter>
  <ignoredErrors>
    <ignoredError sqref="K60 K63"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55"/>
  <sheetViews>
    <sheetView showGridLines="0" zoomScale="70" zoomScaleNormal="70" workbookViewId="0">
      <selection activeCell="K19" sqref="K19"/>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4" customFormat="1" ht="17.25" customHeight="1" x14ac:dyDescent="0.3">
      <c r="E1" s="85" t="s">
        <v>63</v>
      </c>
      <c r="F1" s="36" t="s">
        <v>64</v>
      </c>
      <c r="K1" s="18"/>
      <c r="O1"/>
    </row>
    <row r="2" spans="1:21" s="4" customFormat="1" ht="15.6" x14ac:dyDescent="0.3">
      <c r="D2" s="6"/>
      <c r="E2" s="85"/>
      <c r="F2" s="36"/>
      <c r="K2" s="19"/>
      <c r="O2"/>
    </row>
    <row r="3" spans="1:21" s="4" customFormat="1" x14ac:dyDescent="0.25">
      <c r="K3" s="20"/>
      <c r="P3" s="20"/>
    </row>
    <row r="4" spans="1:21" s="4" customFormat="1" ht="39.9" customHeight="1" x14ac:dyDescent="0.25">
      <c r="P4" s="20"/>
    </row>
    <row r="5" spans="1:21" s="4" customFormat="1" ht="39.9" customHeight="1" x14ac:dyDescent="0.25">
      <c r="P5" s="20"/>
    </row>
    <row r="6" spans="1:21" s="4" customFormat="1" ht="20.25" customHeight="1" x14ac:dyDescent="0.25">
      <c r="P6" s="20"/>
    </row>
    <row r="7" spans="1:21" s="4" customFormat="1" ht="12.75" hidden="1" customHeight="1" x14ac:dyDescent="0.25">
      <c r="E7" s="224">
        <f ca="1">OFFSET(PO!$P$12,ROW($E7)-ROW(E$12),0)</f>
        <v>0</v>
      </c>
      <c r="P7" s="20"/>
    </row>
    <row r="8" spans="1:21" s="4" customFormat="1" ht="9.9" customHeight="1" x14ac:dyDescent="0.25">
      <c r="P8" s="20"/>
    </row>
    <row r="9" spans="1:21" s="4" customFormat="1" ht="60" customHeight="1" x14ac:dyDescent="0.25">
      <c r="B9" s="17"/>
      <c r="C9" s="14"/>
      <c r="D9" s="9"/>
      <c r="E9" s="146" t="s">
        <v>46</v>
      </c>
      <c r="F9" s="401" t="s">
        <v>235</v>
      </c>
      <c r="G9" s="401"/>
      <c r="H9" s="401"/>
      <c r="I9" s="401"/>
      <c r="J9" s="401"/>
      <c r="K9" s="401"/>
      <c r="L9" s="401"/>
      <c r="M9" s="401"/>
      <c r="N9" s="401"/>
      <c r="O9" s="401"/>
      <c r="U9" s="122"/>
    </row>
    <row r="10" spans="1:21" s="15" customFormat="1" ht="30" customHeight="1" x14ac:dyDescent="0.25">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5">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5">
      <c r="A12" s="76" t="str">
        <f>PO!J12</f>
        <v>CTEF</v>
      </c>
      <c r="B12" s="76"/>
      <c r="C12" s="76">
        <f>PO!N12</f>
        <v>0</v>
      </c>
      <c r="D12" s="76"/>
      <c r="E12" s="216"/>
      <c r="F12" s="217"/>
      <c r="G12" s="217"/>
      <c r="H12" s="217"/>
      <c r="I12" s="217"/>
      <c r="J12" s="217"/>
      <c r="K12" s="217"/>
      <c r="L12" s="217"/>
      <c r="M12" s="217"/>
      <c r="N12" s="217"/>
      <c r="O12" s="217"/>
      <c r="U12" s="217"/>
    </row>
    <row r="13" spans="1:21" s="4" customFormat="1" x14ac:dyDescent="0.25">
      <c r="A13" s="126" t="str">
        <f ca="1">OFFSET(PO!J$12,ROW(A13)-ROW($A$12),0)</f>
        <v>Meta</v>
      </c>
      <c r="B13" s="130" t="str">
        <f ca="1">IF($A13=0,"",OFFSET(PO!K$12,ROW(B13)-ROW(B$12),0))</f>
        <v>1.</v>
      </c>
      <c r="C13" s="127" t="str">
        <f ca="1">IF(OFFSET(PO!N$12,ROW(C13)-ROW(C$12),0)=0,"",OFFSET(PO!N$12,ROW(C13)-ROW(C$12),0))</f>
        <v>SERVIÇOS PRELIMINARES E CANTEIRO</v>
      </c>
      <c r="D13" s="129" t="str">
        <f ca="1">IF(OFFSET(PO!O$12,ROW(D13)-ROW(D$12),0)=0,"",OFFSET(PO!O$12,ROW(D13)-ROW(D$12),0))</f>
        <v/>
      </c>
      <c r="E13" s="165">
        <f ca="1">IF($A13&lt;&gt;"Serviço",0,ROUND(SUMIF($F$9:$P$9,"&lt;&gt;",$F13:$P13),15-13*PO!$X$3))</f>
        <v>0</v>
      </c>
      <c r="F13" s="400">
        <f ca="1">OFFSET(PO!$P$12,ROW($E13)-ROW(F$12),0)</f>
        <v>0</v>
      </c>
      <c r="G13" s="400"/>
      <c r="H13" s="400"/>
      <c r="I13" s="400"/>
      <c r="J13" s="400"/>
      <c r="K13" s="400"/>
      <c r="L13" s="400"/>
      <c r="M13" s="400"/>
      <c r="N13" s="400"/>
      <c r="O13" s="400"/>
      <c r="U13" s="215"/>
    </row>
    <row r="14" spans="1:21" s="4" customFormat="1" ht="26.4" x14ac:dyDescent="0.25">
      <c r="A14" s="128" t="str">
        <f ca="1">OFFSET(PO!J$12,ROW(A14)-ROW($A$12),0)</f>
        <v>Serviço</v>
      </c>
      <c r="B14" s="130" t="str">
        <f ca="1">IF($A14=0,"",OFFSET(PO!K$12,ROW(B14)-ROW(B$12),0))</f>
        <v>1.1.</v>
      </c>
      <c r="C14" s="127" t="str">
        <f ca="1">IF(OFFSET(PO!N$12,ROW(C14)-ROW(C$12),0)=0,"",OFFSET(PO!N$12,ROW(C14)-ROW(C$12),0))</f>
        <v>FORNECIMENTO E INSTALAÇÃO DE PLACA DE OBRA COM CHAPA GALVANIZADA E ESTRUTURA DE MADEIRA. AF_03/2022_PS</v>
      </c>
      <c r="D14" s="129" t="str">
        <f ca="1">IF(OFFSET(PO!O$12,ROW(D14)-ROW(D$12),0)=0,"",OFFSET(PO!O$12,ROW(D14)-ROW(D$12),0))</f>
        <v>M2</v>
      </c>
      <c r="E14" s="165">
        <f ca="1">IF($A14&lt;&gt;"Serviço",0,ROUND(SUMIF($F$9:$P$9,"&lt;&gt;",$F14:$P14),15-13*PO!$X$3))</f>
        <v>4.5</v>
      </c>
      <c r="F14" s="400">
        <f ca="1">OFFSET(PO!$P$12,ROW($E14)-ROW(F$12),0)</f>
        <v>4.5</v>
      </c>
      <c r="G14" s="400"/>
      <c r="H14" s="400"/>
      <c r="I14" s="400"/>
      <c r="J14" s="400"/>
      <c r="K14" s="400"/>
      <c r="L14" s="400"/>
      <c r="M14" s="400"/>
      <c r="N14" s="400"/>
      <c r="O14" s="400"/>
      <c r="U14" s="215"/>
    </row>
    <row r="15" spans="1:21" s="4" customFormat="1" x14ac:dyDescent="0.25">
      <c r="A15" s="128" t="str">
        <f ca="1">OFFSET(PO!J$12,ROW(A15)-ROW($A$12),0)</f>
        <v>Serviço</v>
      </c>
      <c r="B15" s="130" t="str">
        <f ca="1">IF($A15=0,"",OFFSET(PO!K$12,ROW(B15)-ROW(B$12),0))</f>
        <v>1.2.</v>
      </c>
      <c r="C15" s="127" t="str">
        <f ca="1">IF(OFFSET(PO!N$12,ROW(C15)-ROW(C$12),0)=0,"",OFFSET(PO!N$12,ROW(C15)-ROW(C$12),0))</f>
        <v>SERVIÇOS TOPOGRÁFICOS PARA PAVIMENTAÇÃO</v>
      </c>
      <c r="D15" s="129" t="str">
        <f ca="1">IF(OFFSET(PO!O$12,ROW(D15)-ROW(D$12),0)=0,"",OFFSET(PO!O$12,ROW(D15)-ROW(D$12),0))</f>
        <v>M2</v>
      </c>
      <c r="E15" s="165">
        <f ca="1">IF($A15&lt;&gt;"Serviço",0,ROUND(SUMIF($F$9:$P$9,"&lt;&gt;",$F15:$P15),15-13*PO!$X$3))</f>
        <v>4000</v>
      </c>
      <c r="F15" s="400">
        <f ca="1">OFFSET(PO!$P$12,ROW($E15)-ROW(F$12),0)</f>
        <v>4000</v>
      </c>
      <c r="G15" s="400"/>
      <c r="H15" s="400"/>
      <c r="I15" s="400"/>
      <c r="J15" s="400"/>
      <c r="K15" s="400"/>
      <c r="L15" s="400"/>
      <c r="M15" s="400"/>
      <c r="N15" s="400"/>
      <c r="O15" s="400"/>
      <c r="U15" s="215"/>
    </row>
    <row r="16" spans="1:21" s="4" customFormat="1" x14ac:dyDescent="0.25">
      <c r="A16" s="128" t="str">
        <f ca="1">OFFSET(PO!J$12,ROW(A16)-ROW($A$12),0)</f>
        <v>Serviço</v>
      </c>
      <c r="B16" s="130" t="str">
        <f ca="1">IF($A16=0,"",OFFSET(PO!K$12,ROW(B16)-ROW(B$12),0))</f>
        <v>1.3.</v>
      </c>
      <c r="C16" s="127" t="str">
        <f ca="1">IF(OFFSET(PO!N$12,ROW(C16)-ROW(C$12),0)=0,"",OFFSET(PO!N$12,ROW(C16)-ROW(C$12),0))</f>
        <v>SINALIZAÇÃO DE TRANSITO NOTURNA</v>
      </c>
      <c r="D16" s="129" t="str">
        <f ca="1">IF(OFFSET(PO!O$12,ROW(D16)-ROW(D$12),0)=0,"",OFFSET(PO!O$12,ROW(D16)-ROW(D$12),0))</f>
        <v xml:space="preserve">M     </v>
      </c>
      <c r="E16" s="165">
        <f ca="1">IF($A16&lt;&gt;"Serviço",0,ROUND(SUMIF($F$9:$P$9,"&lt;&gt;",$F16:$P16),15-13*PO!$X$3))</f>
        <v>500</v>
      </c>
      <c r="F16" s="400">
        <f ca="1">OFFSET(PO!$P$12,ROW($E16)-ROW(F$12),0)</f>
        <v>500</v>
      </c>
      <c r="G16" s="400"/>
      <c r="H16" s="400"/>
      <c r="I16" s="400"/>
      <c r="J16" s="400"/>
      <c r="K16" s="400"/>
      <c r="L16" s="400"/>
      <c r="M16" s="400"/>
      <c r="N16" s="400"/>
      <c r="O16" s="400"/>
      <c r="U16" s="215"/>
    </row>
    <row r="17" spans="1:21" s="4" customFormat="1" ht="26.4" x14ac:dyDescent="0.25">
      <c r="A17" s="128" t="str">
        <f ca="1">OFFSET(PO!J$12,ROW(A17)-ROW($A$12),0)</f>
        <v>Serviço</v>
      </c>
      <c r="B17" s="130" t="str">
        <f ca="1">IF($A17=0,"",OFFSET(PO!K$12,ROW(B17)-ROW(B$12),0))</f>
        <v>1.4.</v>
      </c>
      <c r="C17" s="127" t="str">
        <f ca="1">IF(OFFSET(PO!N$12,ROW(C17)-ROW(C$12),0)=0,"",OFFSET(PO!N$12,ROW(C17)-ROW(C$12),0))</f>
        <v>ENGENHEIRO CIVIL DE OBRA PLENO COM ENCARGOS COMPLEMENTARES</v>
      </c>
      <c r="D17" s="129" t="str">
        <f ca="1">IF(OFFSET(PO!O$12,ROW(D17)-ROW(D$12),0)=0,"",OFFSET(PO!O$12,ROW(D17)-ROW(D$12),0))</f>
        <v>H</v>
      </c>
      <c r="E17" s="165">
        <f ca="1">IF($A17&lt;&gt;"Serviço",0,ROUND(SUMIF($F$9:$P$9,"&lt;&gt;",$F17:$P17),15-13*PO!$X$3))</f>
        <v>80</v>
      </c>
      <c r="F17" s="400">
        <f ca="1">OFFSET(PO!$P$12,ROW($E17)-ROW(F$12),0)</f>
        <v>80</v>
      </c>
      <c r="G17" s="400"/>
      <c r="H17" s="400"/>
      <c r="I17" s="400"/>
      <c r="J17" s="400"/>
      <c r="K17" s="400"/>
      <c r="L17" s="400"/>
      <c r="M17" s="400"/>
      <c r="N17" s="400"/>
      <c r="O17" s="400"/>
      <c r="U17" s="215"/>
    </row>
    <row r="18" spans="1:21" s="4" customFormat="1" x14ac:dyDescent="0.25">
      <c r="A18" s="128" t="str">
        <f ca="1">OFFSET(PO!J$12,ROW(A18)-ROW($A$12),0)</f>
        <v>Serviço</v>
      </c>
      <c r="B18" s="130" t="str">
        <f ca="1">IF($A18=0,"",OFFSET(PO!K$12,ROW(B18)-ROW(B$12),0))</f>
        <v>1.5.</v>
      </c>
      <c r="C18" s="127" t="str">
        <f ca="1">IF(OFFSET(PO!N$12,ROW(C18)-ROW(C$12),0)=0,"",OFFSET(PO!N$12,ROW(C18)-ROW(C$12),0))</f>
        <v>MOBILIZAÇÃO E DESMOBILIZAÇÃO</v>
      </c>
      <c r="D18" s="129" t="str">
        <f ca="1">IF(OFFSET(PO!O$12,ROW(D18)-ROW(D$12),0)=0,"",OFFSET(PO!O$12,ROW(D18)-ROW(D$12),0))</f>
        <v>UN</v>
      </c>
      <c r="E18" s="165">
        <f ca="1">IF($A18&lt;&gt;"Serviço",0,ROUND(SUMIF($F$9:$P$9,"&lt;&gt;",$F18:$P18),15-13*PO!$X$3))</f>
        <v>1</v>
      </c>
      <c r="F18" s="400">
        <f ca="1">OFFSET(PO!$P$12,ROW($E18)-ROW(F$12),0)</f>
        <v>1</v>
      </c>
      <c r="G18" s="400"/>
      <c r="H18" s="400"/>
      <c r="I18" s="400"/>
      <c r="J18" s="400"/>
      <c r="K18" s="400"/>
      <c r="L18" s="400"/>
      <c r="M18" s="400"/>
      <c r="N18" s="400"/>
      <c r="O18" s="400"/>
      <c r="U18" s="215"/>
    </row>
    <row r="19" spans="1:21" s="4" customFormat="1" x14ac:dyDescent="0.25">
      <c r="A19" s="128" t="str">
        <f ca="1">OFFSET(PO!J$12,ROW(A19)-ROW($A$12),0)</f>
        <v>Meta</v>
      </c>
      <c r="B19" s="130" t="str">
        <f ca="1">IF($A19=0,"",OFFSET(PO!K$12,ROW(B19)-ROW(B$12),0))</f>
        <v>2.</v>
      </c>
      <c r="C19" s="127" t="str">
        <f ca="1">IF(OFFSET(PO!N$12,ROW(C19)-ROW(C$12),0)=0,"",OFFSET(PO!N$12,ROW(C19)-ROW(C$12),0))</f>
        <v>TERRAPLENAGEM</v>
      </c>
      <c r="D19" s="129" t="str">
        <f ca="1">IF(OFFSET(PO!O$12,ROW(D19)-ROW(D$12),0)=0,"",OFFSET(PO!O$12,ROW(D19)-ROW(D$12),0))</f>
        <v/>
      </c>
      <c r="E19" s="165">
        <f ca="1">IF($A19&lt;&gt;"Serviço",0,ROUND(SUMIF($F$9:$P$9,"&lt;&gt;",$F19:$P19),15-13*PO!$X$3))</f>
        <v>0</v>
      </c>
      <c r="F19" s="400">
        <f ca="1">OFFSET(PO!$P$12,ROW($E19)-ROW(F$12),0)</f>
        <v>0</v>
      </c>
      <c r="G19" s="400"/>
      <c r="H19" s="400"/>
      <c r="I19" s="400"/>
      <c r="J19" s="400"/>
      <c r="K19" s="400"/>
      <c r="L19" s="400"/>
      <c r="M19" s="400"/>
      <c r="N19" s="400"/>
      <c r="O19" s="400"/>
      <c r="U19" s="215"/>
    </row>
    <row r="20" spans="1:21" s="4" customFormat="1" x14ac:dyDescent="0.25">
      <c r="A20" s="128" t="str">
        <f ca="1">OFFSET(PO!J$12,ROW(A20)-ROW($A$12),0)</f>
        <v>Serviço</v>
      </c>
      <c r="B20" s="130" t="str">
        <f ca="1">IF($A20=0,"",OFFSET(PO!K$12,ROW(B20)-ROW(B$12),0))</f>
        <v>2.1.</v>
      </c>
      <c r="C20" s="127" t="str">
        <f ca="1">IF(OFFSET(PO!N$12,ROW(C20)-ROW(C$12),0)=0,"",OFFSET(PO!N$12,ROW(C20)-ROW(C$12),0))</f>
        <v>Limpeza mecanizada da camada vegetal</v>
      </c>
      <c r="D20" s="129" t="str">
        <f ca="1">IF(OFFSET(PO!O$12,ROW(D20)-ROW(D$12),0)=0,"",OFFSET(PO!O$12,ROW(D20)-ROW(D$12),0))</f>
        <v>m²</v>
      </c>
      <c r="E20" s="165">
        <f ca="1">IF($A20&lt;&gt;"Serviço",0,ROUND(SUMIF($F$9:$P$9,"&lt;&gt;",$F20:$P20),15-13*PO!$X$3))</f>
        <v>4000</v>
      </c>
      <c r="F20" s="400">
        <f ca="1">OFFSET(PO!$P$12,ROW($E20)-ROW(F$12),0)</f>
        <v>4000</v>
      </c>
      <c r="G20" s="400"/>
      <c r="H20" s="400"/>
      <c r="I20" s="400"/>
      <c r="J20" s="400"/>
      <c r="K20" s="400"/>
      <c r="L20" s="400"/>
      <c r="M20" s="400"/>
      <c r="N20" s="400"/>
      <c r="O20" s="400"/>
      <c r="U20" s="215"/>
    </row>
    <row r="21" spans="1:21" s="4" customFormat="1" x14ac:dyDescent="0.25">
      <c r="A21" s="128" t="str">
        <f ca="1">OFFSET(PO!J$12,ROW(A21)-ROW($A$12),0)</f>
        <v>Serviço</v>
      </c>
      <c r="B21" s="130" t="str">
        <f ca="1">IF($A21=0,"",OFFSET(PO!K$12,ROW(B21)-ROW(B$12),0))</f>
        <v>2.2.</v>
      </c>
      <c r="C21" s="127" t="str">
        <f ca="1">IF(OFFSET(PO!N$12,ROW(C21)-ROW(C$12),0)=0,"",OFFSET(PO!N$12,ROW(C21)-ROW(C$12),0))</f>
        <v>Escavação mecânica em material de 1ª categoria</v>
      </c>
      <c r="D21" s="129" t="str">
        <f ca="1">IF(OFFSET(PO!O$12,ROW(D21)-ROW(D$12),0)=0,"",OFFSET(PO!O$12,ROW(D21)-ROW(D$12),0))</f>
        <v>m³</v>
      </c>
      <c r="E21" s="165">
        <f ca="1">IF($A21&lt;&gt;"Serviço",0,ROUND(SUMIF($F$9:$P$9,"&lt;&gt;",$F21:$P21),15-13*PO!$X$3))</f>
        <v>960</v>
      </c>
      <c r="F21" s="400">
        <f ca="1">OFFSET(PO!$P$12,ROW($E21)-ROW(F$12),0)</f>
        <v>960</v>
      </c>
      <c r="G21" s="400"/>
      <c r="H21" s="400"/>
      <c r="I21" s="400"/>
      <c r="J21" s="400"/>
      <c r="K21" s="400"/>
      <c r="L21" s="400"/>
      <c r="M21" s="400"/>
      <c r="N21" s="400"/>
      <c r="O21" s="400"/>
      <c r="U21" s="215"/>
    </row>
    <row r="22" spans="1:21" s="4" customFormat="1" x14ac:dyDescent="0.25">
      <c r="A22" s="128" t="str">
        <f ca="1">OFFSET(PO!J$12,ROW(A22)-ROW($A$12),0)</f>
        <v>Serviço</v>
      </c>
      <c r="B22" s="130" t="str">
        <f ca="1">IF($A22=0,"",OFFSET(PO!K$12,ROW(B22)-ROW(B$12),0))</f>
        <v>2.3.</v>
      </c>
      <c r="C22" s="127" t="str">
        <f ca="1">IF(OFFSET(PO!N$12,ROW(C22)-ROW(C$12),0)=0,"",OFFSET(PO!N$12,ROW(C22)-ROW(C$12),0))</f>
        <v>Desmonte de blocos de rocha com martelete pneumático</v>
      </c>
      <c r="D22" s="129" t="str">
        <f ca="1">IF(OFFSET(PO!O$12,ROW(D22)-ROW(D$12),0)=0,"",OFFSET(PO!O$12,ROW(D22)-ROW(D$12),0))</f>
        <v>m³</v>
      </c>
      <c r="E22" s="165">
        <f ca="1">IF($A22&lt;&gt;"Serviço",0,ROUND(SUMIF($F$9:$P$9,"&lt;&gt;",$F22:$P22),15-13*PO!$X$3))</f>
        <v>240</v>
      </c>
      <c r="F22" s="400">
        <f ca="1">OFFSET(PO!$P$12,ROW($E22)-ROW(F$12),0)</f>
        <v>240</v>
      </c>
      <c r="G22" s="400"/>
      <c r="H22" s="400"/>
      <c r="I22" s="400"/>
      <c r="J22" s="400"/>
      <c r="K22" s="400"/>
      <c r="L22" s="400"/>
      <c r="M22" s="400"/>
      <c r="N22" s="400"/>
      <c r="O22" s="400"/>
      <c r="U22" s="215"/>
    </row>
    <row r="23" spans="1:21" s="4" customFormat="1" x14ac:dyDescent="0.25">
      <c r="A23" s="128" t="str">
        <f ca="1">OFFSET(PO!J$12,ROW(A23)-ROW($A$12),0)</f>
        <v>Serviço</v>
      </c>
      <c r="B23" s="130" t="str">
        <f ca="1">IF($A23=0,"",OFFSET(PO!K$12,ROW(B23)-ROW(B$12),0))</f>
        <v>2.4.</v>
      </c>
      <c r="C23" s="127" t="str">
        <f ca="1">IF(OFFSET(PO!N$12,ROW(C23)-ROW(C$12),0)=0,"",OFFSET(PO!N$12,ROW(C23)-ROW(C$12),0))</f>
        <v>Transporte com caminhão basculante de 10 m³ - rodovia pavimentada</v>
      </c>
      <c r="D23" s="129" t="str">
        <f ca="1">IF(OFFSET(PO!O$12,ROW(D23)-ROW(D$12),0)=0,"",OFFSET(PO!O$12,ROW(D23)-ROW(D$12),0))</f>
        <v>tkm</v>
      </c>
      <c r="E23" s="165">
        <f ca="1">IF($A23&lt;&gt;"Serviço",0,ROUND(SUMIF($F$9:$P$9,"&lt;&gt;",$F23:$P23),15-13*PO!$X$3))</f>
        <v>12000</v>
      </c>
      <c r="F23" s="400">
        <f ca="1">OFFSET(PO!$P$12,ROW($E23)-ROW(F$12),0)</f>
        <v>12000</v>
      </c>
      <c r="G23" s="400"/>
      <c r="H23" s="400"/>
      <c r="I23" s="400"/>
      <c r="J23" s="400"/>
      <c r="K23" s="400"/>
      <c r="L23" s="400"/>
      <c r="M23" s="400"/>
      <c r="N23" s="400"/>
      <c r="O23" s="400"/>
      <c r="U23" s="215"/>
    </row>
    <row r="24" spans="1:21" s="4" customFormat="1" x14ac:dyDescent="0.25">
      <c r="A24" s="128" t="str">
        <f ca="1">OFFSET(PO!J$12,ROW(A24)-ROW($A$12),0)</f>
        <v>Serviço</v>
      </c>
      <c r="B24" s="130" t="str">
        <f ca="1">IF($A24=0,"",OFFSET(PO!K$12,ROW(B24)-ROW(B$12),0))</f>
        <v>2.5.</v>
      </c>
      <c r="C24" s="127" t="str">
        <f ca="1">IF(OFFSET(PO!N$12,ROW(C24)-ROW(C$12),0)=0,"",OFFSET(PO!N$12,ROW(C24)-ROW(C$12),0))</f>
        <v>Escavação e remoção de bordos contaminados</v>
      </c>
      <c r="D24" s="129" t="str">
        <f ca="1">IF(OFFSET(PO!O$12,ROW(D24)-ROW(D$12),0)=0,"",OFFSET(PO!O$12,ROW(D24)-ROW(D$12),0))</f>
        <v>m³</v>
      </c>
      <c r="E24" s="165">
        <f ca="1">IF($A24&lt;&gt;"Serviço",0,ROUND(SUMIF($F$9:$P$9,"&lt;&gt;",$F24:$P24),15-13*PO!$X$3))</f>
        <v>400</v>
      </c>
      <c r="F24" s="400">
        <f ca="1">OFFSET(PO!$P$12,ROW($E24)-ROW(F$12),0)</f>
        <v>400</v>
      </c>
      <c r="G24" s="400"/>
      <c r="H24" s="400"/>
      <c r="I24" s="400"/>
      <c r="J24" s="400"/>
      <c r="K24" s="400"/>
      <c r="L24" s="400"/>
      <c r="M24" s="400"/>
      <c r="N24" s="400"/>
      <c r="O24" s="400"/>
      <c r="U24" s="215"/>
    </row>
    <row r="25" spans="1:21" s="4" customFormat="1" x14ac:dyDescent="0.25">
      <c r="A25" s="128" t="str">
        <f ca="1">OFFSET(PO!J$12,ROW(A25)-ROW($A$12),0)</f>
        <v>Serviço</v>
      </c>
      <c r="B25" s="130" t="str">
        <f ca="1">IF($A25=0,"",OFFSET(PO!K$12,ROW(B25)-ROW(B$12),0))</f>
        <v>2.6.</v>
      </c>
      <c r="C25" s="127" t="str">
        <f ca="1">IF(OFFSET(PO!N$12,ROW(C25)-ROW(C$12),0)=0,"",OFFSET(PO!N$12,ROW(C25)-ROW(C$12),0))</f>
        <v>Reaterro e compactação com soquete vibratório</v>
      </c>
      <c r="D25" s="129" t="str">
        <f ca="1">IF(OFFSET(PO!O$12,ROW(D25)-ROW(D$12),0)=0,"",OFFSET(PO!O$12,ROW(D25)-ROW(D$12),0))</f>
        <v>m³</v>
      </c>
      <c r="E25" s="165">
        <f ca="1">IF($A25&lt;&gt;"Serviço",0,ROUND(SUMIF($F$9:$P$9,"&lt;&gt;",$F25:$P25),15-13*PO!$X$3))</f>
        <v>400</v>
      </c>
      <c r="F25" s="400">
        <f ca="1">OFFSET(PO!$P$12,ROW($E25)-ROW(F$12),0)</f>
        <v>400</v>
      </c>
      <c r="G25" s="400"/>
      <c r="H25" s="400"/>
      <c r="I25" s="400"/>
      <c r="J25" s="400"/>
      <c r="K25" s="400"/>
      <c r="L25" s="400"/>
      <c r="M25" s="400"/>
      <c r="N25" s="400"/>
      <c r="O25" s="400"/>
      <c r="U25" s="215"/>
    </row>
    <row r="26" spans="1:21" s="4" customFormat="1" x14ac:dyDescent="0.25">
      <c r="A26" s="128" t="str">
        <f ca="1">OFFSET(PO!J$12,ROW(A26)-ROW($A$12),0)</f>
        <v>Serviço</v>
      </c>
      <c r="B26" s="130" t="str">
        <f ca="1">IF($A26=0,"",OFFSET(PO!K$12,ROW(B26)-ROW(B$12),0))</f>
        <v>2.7.</v>
      </c>
      <c r="C26" s="127" t="str">
        <f ca="1">IF(OFFSET(PO!N$12,ROW(C26)-ROW(C$12),0)=0,"",OFFSET(PO!N$12,ROW(C26)-ROW(C$12),0))</f>
        <v>Transporte com caminhão basculante de 10 m³ - rodovia pavimentada</v>
      </c>
      <c r="D26" s="129" t="str">
        <f ca="1">IF(OFFSET(PO!O$12,ROW(D26)-ROW(D$12),0)=0,"",OFFSET(PO!O$12,ROW(D26)-ROW(D$12),0))</f>
        <v>tkm</v>
      </c>
      <c r="E26" s="165">
        <f ca="1">IF($A26&lt;&gt;"Serviço",0,ROUND(SUMIF($F$9:$P$9,"&lt;&gt;",$F26:$P26),15-13*PO!$X$3))</f>
        <v>4000</v>
      </c>
      <c r="F26" s="400">
        <f ca="1">OFFSET(PO!$P$12,ROW($E26)-ROW(F$12),0)</f>
        <v>4000</v>
      </c>
      <c r="G26" s="400"/>
      <c r="H26" s="400"/>
      <c r="I26" s="400"/>
      <c r="J26" s="400"/>
      <c r="K26" s="400"/>
      <c r="L26" s="400"/>
      <c r="M26" s="400"/>
      <c r="N26" s="400"/>
      <c r="O26" s="400"/>
      <c r="U26" s="215"/>
    </row>
    <row r="27" spans="1:21" s="4" customFormat="1" x14ac:dyDescent="0.25">
      <c r="A27" s="128" t="str">
        <f ca="1">OFFSET(PO!J$12,ROW(A27)-ROW($A$12),0)</f>
        <v>Meta</v>
      </c>
      <c r="B27" s="130" t="str">
        <f ca="1">IF($A27=0,"",OFFSET(PO!K$12,ROW(B27)-ROW(B$12),0))</f>
        <v>3.</v>
      </c>
      <c r="C27" s="127" t="str">
        <f ca="1">IF(OFFSET(PO!N$12,ROW(C27)-ROW(C$12),0)=0,"",OFFSET(PO!N$12,ROW(C27)-ROW(C$12),0))</f>
        <v>DRENAGEM</v>
      </c>
      <c r="D27" s="129" t="str">
        <f ca="1">IF(OFFSET(PO!O$12,ROW(D27)-ROW(D$12),0)=0,"",OFFSET(PO!O$12,ROW(D27)-ROW(D$12),0))</f>
        <v/>
      </c>
      <c r="E27" s="165">
        <f ca="1">IF($A27&lt;&gt;"Serviço",0,ROUND(SUMIF($F$9:$P$9,"&lt;&gt;",$F27:$P27),15-13*PO!$X$3))</f>
        <v>0</v>
      </c>
      <c r="F27" s="400">
        <f ca="1">OFFSET(PO!$P$12,ROW($E27)-ROW(F$12),0)</f>
        <v>0</v>
      </c>
      <c r="G27" s="400"/>
      <c r="H27" s="400"/>
      <c r="I27" s="400"/>
      <c r="J27" s="400"/>
      <c r="K27" s="400"/>
      <c r="L27" s="400"/>
      <c r="M27" s="400"/>
      <c r="N27" s="400"/>
      <c r="O27" s="400"/>
      <c r="U27" s="215"/>
    </row>
    <row r="28" spans="1:21" s="4" customFormat="1" x14ac:dyDescent="0.25">
      <c r="A28" s="128" t="str">
        <f ca="1">OFFSET(PO!J$12,ROW(A28)-ROW($A$12),0)</f>
        <v>Serviço</v>
      </c>
      <c r="B28" s="130" t="str">
        <f ca="1">IF($A28=0,"",OFFSET(PO!K$12,ROW(B28)-ROW(B$12),0))</f>
        <v>3.1.</v>
      </c>
      <c r="C28" s="127" t="str">
        <f ca="1">IF(OFFSET(PO!N$12,ROW(C28)-ROW(C$12),0)=0,"",OFFSET(PO!N$12,ROW(C28)-ROW(C$12),0))</f>
        <v>Escavação mecânica de vala em material de 1ª categoria</v>
      </c>
      <c r="D28" s="129" t="str">
        <f ca="1">IF(OFFSET(PO!O$12,ROW(D28)-ROW(D$12),0)=0,"",OFFSET(PO!O$12,ROW(D28)-ROW(D$12),0))</f>
        <v>m³</v>
      </c>
      <c r="E28" s="165">
        <f ca="1">IF($A28&lt;&gt;"Serviço",0,ROUND(SUMIF($F$9:$P$9,"&lt;&gt;",$F28:$P28),15-13*PO!$X$3))</f>
        <v>487.92</v>
      </c>
      <c r="F28" s="400">
        <f ca="1">OFFSET(PO!$P$12,ROW($E28)-ROW(F$12),0)</f>
        <v>487.916</v>
      </c>
      <c r="G28" s="400"/>
      <c r="H28" s="400"/>
      <c r="I28" s="400"/>
      <c r="J28" s="400"/>
      <c r="K28" s="400"/>
      <c r="L28" s="400"/>
      <c r="M28" s="400"/>
      <c r="N28" s="400"/>
      <c r="O28" s="400"/>
      <c r="U28" s="215"/>
    </row>
    <row r="29" spans="1:21" s="4" customFormat="1" x14ac:dyDescent="0.25">
      <c r="A29" s="128" t="str">
        <f ca="1">OFFSET(PO!J$12,ROW(A29)-ROW($A$12),0)</f>
        <v>Serviço</v>
      </c>
      <c r="B29" s="130" t="str">
        <f ca="1">IF($A29=0,"",OFFSET(PO!K$12,ROW(B29)-ROW(B$12),0))</f>
        <v>3.2.</v>
      </c>
      <c r="C29" s="127" t="str">
        <f ca="1">IF(OFFSET(PO!N$12,ROW(C29)-ROW(C$12),0)=0,"",OFFSET(PO!N$12,ROW(C29)-ROW(C$12),0))</f>
        <v>Escavação de vala em material de 3ª categoria</v>
      </c>
      <c r="D29" s="129" t="str">
        <f ca="1">IF(OFFSET(PO!O$12,ROW(D29)-ROW(D$12),0)=0,"",OFFSET(PO!O$12,ROW(D29)-ROW(D$12),0))</f>
        <v>m³</v>
      </c>
      <c r="E29" s="165">
        <f ca="1">IF($A29&lt;&gt;"Serviço",0,ROUND(SUMIF($F$9:$P$9,"&lt;&gt;",$F29:$P29),15-13*PO!$X$3))</f>
        <v>121.98</v>
      </c>
      <c r="F29" s="400">
        <f ca="1">OFFSET(PO!$P$12,ROW($E29)-ROW(F$12),0)</f>
        <v>121.979</v>
      </c>
      <c r="G29" s="400"/>
      <c r="H29" s="400"/>
      <c r="I29" s="400"/>
      <c r="J29" s="400"/>
      <c r="K29" s="400"/>
      <c r="L29" s="400"/>
      <c r="M29" s="400"/>
      <c r="N29" s="400"/>
      <c r="O29" s="400"/>
      <c r="U29" s="215"/>
    </row>
    <row r="30" spans="1:21" s="4" customFormat="1" ht="26.4" x14ac:dyDescent="0.25">
      <c r="A30" s="128" t="str">
        <f ca="1">OFFSET(PO!J$12,ROW(A30)-ROW($A$12),0)</f>
        <v>Serviço</v>
      </c>
      <c r="B30" s="130" t="str">
        <f ca="1">IF($A30=0,"",OFFSET(PO!K$12,ROW(B30)-ROW(B$12),0))</f>
        <v>3.3.</v>
      </c>
      <c r="C30" s="127" t="str">
        <f ca="1">IF(OFFSET(PO!N$12,ROW(C30)-ROW(C$12),0)=0,"",OFFSET(PO!N$12,ROW(C30)-ROW(C$12),0))</f>
        <v>Tubo de concreto PA2 comercial para drenagem - D = 0,60 m - fornecimento e instalação</v>
      </c>
      <c r="D30" s="129" t="str">
        <f ca="1">IF(OFFSET(PO!O$12,ROW(D30)-ROW(D$12),0)=0,"",OFFSET(PO!O$12,ROW(D30)-ROW(D$12),0))</f>
        <v>m</v>
      </c>
      <c r="E30" s="165">
        <f ca="1">IF($A30&lt;&gt;"Serviço",0,ROUND(SUMIF($F$9:$P$9,"&lt;&gt;",$F30:$P30),15-13*PO!$X$3))</f>
        <v>52</v>
      </c>
      <c r="F30" s="400">
        <f ca="1">OFFSET(PO!$P$12,ROW($E30)-ROW(F$12),0)</f>
        <v>52</v>
      </c>
      <c r="G30" s="400"/>
      <c r="H30" s="400"/>
      <c r="I30" s="400"/>
      <c r="J30" s="400"/>
      <c r="K30" s="400"/>
      <c r="L30" s="400"/>
      <c r="M30" s="400"/>
      <c r="N30" s="400"/>
      <c r="O30" s="400"/>
      <c r="U30" s="215"/>
    </row>
    <row r="31" spans="1:21" s="4" customFormat="1" x14ac:dyDescent="0.25">
      <c r="A31" s="128" t="str">
        <f ca="1">OFFSET(PO!J$12,ROW(A31)-ROW($A$12),0)</f>
        <v>Serviço</v>
      </c>
      <c r="B31" s="130" t="str">
        <f ca="1">IF($A31=0,"",OFFSET(PO!K$12,ROW(B31)-ROW(B$12),0))</f>
        <v>3.4.</v>
      </c>
      <c r="C31" s="127" t="str">
        <f ca="1">IF(OFFSET(PO!N$12,ROW(C31)-ROW(C$12),0)=0,"",OFFSET(PO!N$12,ROW(C31)-ROW(C$12),0))</f>
        <v>Caixa coletora de talvegue - CCT 01 - areia e brita comerciais</v>
      </c>
      <c r="D31" s="129" t="str">
        <f ca="1">IF(OFFSET(PO!O$12,ROW(D31)-ROW(D$12),0)=0,"",OFFSET(PO!O$12,ROW(D31)-ROW(D$12),0))</f>
        <v>un</v>
      </c>
      <c r="E31" s="165">
        <f ca="1">IF($A31&lt;&gt;"Serviço",0,ROUND(SUMIF($F$9:$P$9,"&lt;&gt;",$F31:$P31),15-13*PO!$X$3))</f>
        <v>4</v>
      </c>
      <c r="F31" s="400">
        <f ca="1">OFFSET(PO!$P$12,ROW($E31)-ROW(F$12),0)</f>
        <v>4</v>
      </c>
      <c r="G31" s="400"/>
      <c r="H31" s="400"/>
      <c r="I31" s="400"/>
      <c r="J31" s="400"/>
      <c r="K31" s="400"/>
      <c r="L31" s="400"/>
      <c r="M31" s="400"/>
      <c r="N31" s="400"/>
      <c r="O31" s="400"/>
      <c r="U31" s="215"/>
    </row>
    <row r="32" spans="1:21" s="4" customFormat="1" x14ac:dyDescent="0.25">
      <c r="A32" s="128" t="str">
        <f ca="1">OFFSET(PO!J$12,ROW(A32)-ROW($A$12),0)</f>
        <v>Serviço</v>
      </c>
      <c r="B32" s="130" t="str">
        <f ca="1">IF($A32=0,"",OFFSET(PO!K$12,ROW(B32)-ROW(B$12),0))</f>
        <v>3.5.</v>
      </c>
      <c r="C32" s="127" t="str">
        <f ca="1">IF(OFFSET(PO!N$12,ROW(C32)-ROW(C$12),0)=0,"",OFFSET(PO!N$12,ROW(C32)-ROW(C$12),0))</f>
        <v>Reaterro e compactação com soquete vibratório</v>
      </c>
      <c r="D32" s="129" t="str">
        <f ca="1">IF(OFFSET(PO!O$12,ROW(D32)-ROW(D$12),0)=0,"",OFFSET(PO!O$12,ROW(D32)-ROW(D$12),0))</f>
        <v>m³</v>
      </c>
      <c r="E32" s="165">
        <f ca="1">IF($A32&lt;&gt;"Serviço",0,ROUND(SUMIF($F$9:$P$9,"&lt;&gt;",$F32:$P32),15-13*PO!$X$3))</f>
        <v>138.99</v>
      </c>
      <c r="F32" s="400">
        <f ca="1">OFFSET(PO!$P$12,ROW($E32)-ROW(F$12),0)</f>
        <v>138.98894999999999</v>
      </c>
      <c r="G32" s="400"/>
      <c r="H32" s="400"/>
      <c r="I32" s="400"/>
      <c r="J32" s="400"/>
      <c r="K32" s="400"/>
      <c r="L32" s="400"/>
      <c r="M32" s="400"/>
      <c r="N32" s="400"/>
      <c r="O32" s="400"/>
      <c r="U32" s="215"/>
    </row>
    <row r="33" spans="1:21" s="4" customFormat="1" ht="26.4" x14ac:dyDescent="0.25">
      <c r="A33" s="128" t="str">
        <f ca="1">OFFSET(PO!J$12,ROW(A33)-ROW($A$12),0)</f>
        <v>Serviço</v>
      </c>
      <c r="B33" s="130" t="str">
        <f ca="1">IF($A33=0,"",OFFSET(PO!K$12,ROW(B33)-ROW(B$12),0))</f>
        <v>3.6.</v>
      </c>
      <c r="C33" s="127" t="str">
        <f ca="1">IF(OFFSET(PO!N$12,ROW(C33)-ROW(C$12),0)=0,"",OFFSET(PO!N$12,ROW(C33)-ROW(C$12),0))</f>
        <v>Transposição de segmentos de sarjeta - TSS 01 - 300MM - areia e brita comerciais</v>
      </c>
      <c r="D33" s="129" t="str">
        <f ca="1">IF(OFFSET(PO!O$12,ROW(D33)-ROW(D$12),0)=0,"",OFFSET(PO!O$12,ROW(D33)-ROW(D$12),0))</f>
        <v>m</v>
      </c>
      <c r="E33" s="165">
        <f ca="1">IF($A33&lt;&gt;"Serviço",0,ROUND(SUMIF($F$9:$P$9,"&lt;&gt;",$F33:$P33),15-13*PO!$X$3))</f>
        <v>55</v>
      </c>
      <c r="F33" s="400">
        <f ca="1">OFFSET(PO!$P$12,ROW($E33)-ROW(F$12),0)</f>
        <v>55</v>
      </c>
      <c r="G33" s="400"/>
      <c r="H33" s="400"/>
      <c r="I33" s="400"/>
      <c r="J33" s="400"/>
      <c r="K33" s="400"/>
      <c r="L33" s="400"/>
      <c r="M33" s="400"/>
      <c r="N33" s="400"/>
      <c r="O33" s="400"/>
      <c r="U33" s="215"/>
    </row>
    <row r="34" spans="1:21" s="4" customFormat="1" ht="39.6" x14ac:dyDescent="0.25">
      <c r="A34" s="128" t="str">
        <f ca="1">OFFSET(PO!J$12,ROW(A34)-ROW($A$12),0)</f>
        <v>Serviço</v>
      </c>
      <c r="B34" s="130" t="str">
        <f ca="1">IF($A34=0,"",OFFSET(PO!K$12,ROW(B34)-ROW(B$12),0))</f>
        <v>3.7.</v>
      </c>
      <c r="C34" s="127" t="str">
        <f ca="1">IF(OFFSET(PO!N$12,ROW(C34)-ROW(C$12),0)=0,"",OFFSET(PO!N$12,ROW(C34)-ROW(C$12),0))</f>
        <v>Sarjeta triangular de concreto - STC 88-20 moldada no local com extrusora e concreto usinado - escavação mecânica - areia e brita comerciais</v>
      </c>
      <c r="D34" s="129" t="str">
        <f ca="1">IF(OFFSET(PO!O$12,ROW(D34)-ROW(D$12),0)=0,"",OFFSET(PO!O$12,ROW(D34)-ROW(D$12),0))</f>
        <v>m</v>
      </c>
      <c r="E34" s="165">
        <f ca="1">IF($A34&lt;&gt;"Serviço",0,ROUND(SUMIF($F$9:$P$9,"&lt;&gt;",$F34:$P34),15-13*PO!$X$3))</f>
        <v>740</v>
      </c>
      <c r="F34" s="400">
        <f ca="1">OFFSET(PO!$P$12,ROW($E34)-ROW(F$12),0)</f>
        <v>740</v>
      </c>
      <c r="G34" s="400"/>
      <c r="H34" s="400"/>
      <c r="I34" s="400"/>
      <c r="J34" s="400"/>
      <c r="K34" s="400"/>
      <c r="L34" s="400"/>
      <c r="M34" s="400"/>
      <c r="N34" s="400"/>
      <c r="O34" s="400"/>
      <c r="U34" s="215"/>
    </row>
    <row r="35" spans="1:21" s="4" customFormat="1" x14ac:dyDescent="0.25">
      <c r="A35" s="128" t="str">
        <f ca="1">OFFSET(PO!J$12,ROW(A35)-ROW($A$12),0)</f>
        <v>Serviço</v>
      </c>
      <c r="B35" s="130" t="str">
        <f ca="1">IF($A35=0,"",OFFSET(PO!K$12,ROW(B35)-ROW(B$12),0))</f>
        <v>3.8.</v>
      </c>
      <c r="C35" s="127" t="str">
        <f ca="1">IF(OFFSET(PO!N$12,ROW(C35)-ROW(C$12),0)=0,"",OFFSET(PO!N$12,ROW(C35)-ROW(C$12),0))</f>
        <v>Dreno subsuperficial - DSS 03 - brita comercial</v>
      </c>
      <c r="D35" s="129" t="str">
        <f ca="1">IF(OFFSET(PO!O$12,ROW(D35)-ROW(D$12),0)=0,"",OFFSET(PO!O$12,ROW(D35)-ROW(D$12),0))</f>
        <v>m</v>
      </c>
      <c r="E35" s="165">
        <f ca="1">IF($A35&lt;&gt;"Serviço",0,ROUND(SUMIF($F$9:$P$9,"&lt;&gt;",$F35:$P35),15-13*PO!$X$3))</f>
        <v>50</v>
      </c>
      <c r="F35" s="400">
        <f ca="1">OFFSET(PO!$P$12,ROW($E35)-ROW(F$12),0)</f>
        <v>50</v>
      </c>
      <c r="G35" s="400"/>
      <c r="H35" s="400"/>
      <c r="I35" s="400"/>
      <c r="J35" s="400"/>
      <c r="K35" s="400"/>
      <c r="L35" s="400"/>
      <c r="M35" s="400"/>
      <c r="N35" s="400"/>
      <c r="O35" s="400"/>
      <c r="U35" s="215"/>
    </row>
    <row r="36" spans="1:21" s="4" customFormat="1" x14ac:dyDescent="0.25">
      <c r="A36" s="128" t="str">
        <f ca="1">OFFSET(PO!J$12,ROW(A36)-ROW($A$12),0)</f>
        <v>Serviço</v>
      </c>
      <c r="B36" s="130" t="str">
        <f ca="1">IF($A36=0,"",OFFSET(PO!K$12,ROW(B36)-ROW(B$12),0))</f>
        <v>3.9.</v>
      </c>
      <c r="C36" s="127" t="str">
        <f ca="1">IF(OFFSET(PO!N$12,ROW(C36)-ROW(C$12),0)=0,"",OFFSET(PO!N$12,ROW(C36)-ROW(C$12),0))</f>
        <v>Transporte com caminhão basculante de 10 m³ - rodovia pavimentada</v>
      </c>
      <c r="D36" s="129" t="str">
        <f ca="1">IF(OFFSET(PO!O$12,ROW(D36)-ROW(D$12),0)=0,"",OFFSET(PO!O$12,ROW(D36)-ROW(D$12),0))</f>
        <v>tkm</v>
      </c>
      <c r="E36" s="165">
        <f ca="1">IF($A36&lt;&gt;"Serviço",0,ROUND(SUMIF($F$9:$P$9,"&lt;&gt;",$F36:$P36),15-13*PO!$X$3))</f>
        <v>4789.0600000000004</v>
      </c>
      <c r="F36" s="400">
        <f ca="1">OFFSET(PO!$P$12,ROW($E36)-ROW(F$12),0)</f>
        <v>4789.0604999999996</v>
      </c>
      <c r="G36" s="400"/>
      <c r="H36" s="400"/>
      <c r="I36" s="400"/>
      <c r="J36" s="400"/>
      <c r="K36" s="400"/>
      <c r="L36" s="400"/>
      <c r="M36" s="400"/>
      <c r="N36" s="400"/>
      <c r="O36" s="400"/>
      <c r="U36" s="215"/>
    </row>
    <row r="37" spans="1:21" s="4" customFormat="1" x14ac:dyDescent="0.25">
      <c r="A37" s="128" t="str">
        <f ca="1">OFFSET(PO!J$12,ROW(A37)-ROW($A$12),0)</f>
        <v>Meta</v>
      </c>
      <c r="B37" s="130" t="str">
        <f ca="1">IF($A37=0,"",OFFSET(PO!K$12,ROW(B37)-ROW(B$12),0))</f>
        <v>4.</v>
      </c>
      <c r="C37" s="127" t="str">
        <f ca="1">IF(OFFSET(PO!N$12,ROW(C37)-ROW(C$12),0)=0,"",OFFSET(PO!N$12,ROW(C37)-ROW(C$12),0))</f>
        <v>PAVIMENTAÇÃO SOBRE BASE DE BRITA GRADUADA</v>
      </c>
      <c r="D37" s="129" t="str">
        <f ca="1">IF(OFFSET(PO!O$12,ROW(D37)-ROW(D$12),0)=0,"",OFFSET(PO!O$12,ROW(D37)-ROW(D$12),0))</f>
        <v/>
      </c>
      <c r="E37" s="165">
        <f ca="1">IF($A37&lt;&gt;"Serviço",0,ROUND(SUMIF($F$9:$P$9,"&lt;&gt;",$F37:$P37),15-13*PO!$X$3))</f>
        <v>0</v>
      </c>
      <c r="F37" s="400">
        <f ca="1">OFFSET(PO!$P$12,ROW($E37)-ROW(F$12),0)</f>
        <v>0</v>
      </c>
      <c r="G37" s="400"/>
      <c r="H37" s="400"/>
      <c r="I37" s="400"/>
      <c r="J37" s="400"/>
      <c r="K37" s="400"/>
      <c r="L37" s="400"/>
      <c r="M37" s="400"/>
      <c r="N37" s="400"/>
      <c r="O37" s="400"/>
      <c r="U37" s="215"/>
    </row>
    <row r="38" spans="1:21" s="4" customFormat="1" x14ac:dyDescent="0.25">
      <c r="A38" s="128" t="str">
        <f ca="1">OFFSET(PO!J$12,ROW(A38)-ROW($A$12),0)</f>
        <v>Serviço</v>
      </c>
      <c r="B38" s="130" t="str">
        <f ca="1">IF($A38=0,"",OFFSET(PO!K$12,ROW(B38)-ROW(B$12),0))</f>
        <v>4.1.</v>
      </c>
      <c r="C38" s="127" t="str">
        <f ca="1">IF(OFFSET(PO!N$12,ROW(C38)-ROW(C$12),0)=0,"",OFFSET(PO!N$12,ROW(C38)-ROW(C$12),0))</f>
        <v>Regularização do subleito</v>
      </c>
      <c r="D38" s="129" t="str">
        <f ca="1">IF(OFFSET(PO!O$12,ROW(D38)-ROW(D$12),0)=0,"",OFFSET(PO!O$12,ROW(D38)-ROW(D$12),0))</f>
        <v>m²</v>
      </c>
      <c r="E38" s="165">
        <f ca="1">IF($A38&lt;&gt;"Serviço",0,ROUND(SUMIF($F$9:$P$9,"&lt;&gt;",$F38:$P38),15-13*PO!$X$3))</f>
        <v>4000</v>
      </c>
      <c r="F38" s="400">
        <f ca="1">OFFSET(PO!$P$12,ROW($E38)-ROW(F$12),0)</f>
        <v>4000</v>
      </c>
      <c r="G38" s="400"/>
      <c r="H38" s="400"/>
      <c r="I38" s="400"/>
      <c r="J38" s="400"/>
      <c r="K38" s="400"/>
      <c r="L38" s="400"/>
      <c r="M38" s="400"/>
      <c r="N38" s="400"/>
      <c r="O38" s="400"/>
      <c r="U38" s="215"/>
    </row>
    <row r="39" spans="1:21" s="4" customFormat="1" x14ac:dyDescent="0.25">
      <c r="A39" s="128" t="str">
        <f ca="1">OFFSET(PO!J$12,ROW(A39)-ROW($A$12),0)</f>
        <v>Serviço</v>
      </c>
      <c r="B39" s="130" t="str">
        <f ca="1">IF($A39=0,"",OFFSET(PO!K$12,ROW(B39)-ROW(B$12),0))</f>
        <v>4.2.</v>
      </c>
      <c r="C39" s="127" t="str">
        <f ca="1">IF(OFFSET(PO!N$12,ROW(C39)-ROW(C$12),0)=0,"",OFFSET(PO!N$12,ROW(C39)-ROW(C$12),0))</f>
        <v>Base ou sub-base de brita graduada com brita comercial</v>
      </c>
      <c r="D39" s="129" t="str">
        <f ca="1">IF(OFFSET(PO!O$12,ROW(D39)-ROW(D$12),0)=0,"",OFFSET(PO!O$12,ROW(D39)-ROW(D$12),0))</f>
        <v>m³</v>
      </c>
      <c r="E39" s="165">
        <f ca="1">IF($A39&lt;&gt;"Serviço",0,ROUND(SUMIF($F$9:$P$9,"&lt;&gt;",$F39:$P39),15-13*PO!$X$3))</f>
        <v>800</v>
      </c>
      <c r="F39" s="400">
        <f ca="1">OFFSET(PO!$P$12,ROW($E39)-ROW(F$12),0)</f>
        <v>800</v>
      </c>
      <c r="G39" s="400"/>
      <c r="H39" s="400"/>
      <c r="I39" s="400"/>
      <c r="J39" s="400"/>
      <c r="K39" s="400"/>
      <c r="L39" s="400"/>
      <c r="M39" s="400"/>
      <c r="N39" s="400"/>
      <c r="O39" s="400"/>
      <c r="U39" s="215"/>
    </row>
    <row r="40" spans="1:21" s="4" customFormat="1" x14ac:dyDescent="0.25">
      <c r="A40" s="128" t="str">
        <f ca="1">OFFSET(PO!J$12,ROW(A40)-ROW($A$12),0)</f>
        <v>Serviço</v>
      </c>
      <c r="B40" s="130" t="str">
        <f ca="1">IF($A40=0,"",OFFSET(PO!K$12,ROW(B40)-ROW(B$12),0))</f>
        <v>4.3.</v>
      </c>
      <c r="C40" s="127" t="str">
        <f ca="1">IF(OFFSET(PO!N$12,ROW(C40)-ROW(C$12),0)=0,"",OFFSET(PO!N$12,ROW(C40)-ROW(C$12),0))</f>
        <v>Transporte com caminhão basculante de 10 m³ - rodovia pavimentada</v>
      </c>
      <c r="D40" s="129" t="str">
        <f ca="1">IF(OFFSET(PO!O$12,ROW(D40)-ROW(D$12),0)=0,"",OFFSET(PO!O$12,ROW(D40)-ROW(D$12),0))</f>
        <v>tkm</v>
      </c>
      <c r="E40" s="165">
        <f ca="1">IF($A40&lt;&gt;"Serviço",0,ROUND(SUMIF($F$9:$P$9,"&lt;&gt;",$F40:$P40),15-13*PO!$X$3))</f>
        <v>8000</v>
      </c>
      <c r="F40" s="400">
        <f ca="1">OFFSET(PO!$P$12,ROW($E40)-ROW(F$12),0)</f>
        <v>8000</v>
      </c>
      <c r="G40" s="400"/>
      <c r="H40" s="400"/>
      <c r="I40" s="400"/>
      <c r="J40" s="400"/>
      <c r="K40" s="400"/>
      <c r="L40" s="400"/>
      <c r="M40" s="400"/>
      <c r="N40" s="400"/>
      <c r="O40" s="400"/>
      <c r="U40" s="215"/>
    </row>
    <row r="41" spans="1:21" s="4" customFormat="1" x14ac:dyDescent="0.25">
      <c r="A41" s="128" t="str">
        <f ca="1">OFFSET(PO!J$12,ROW(A41)-ROW($A$12),0)</f>
        <v>Serviço</v>
      </c>
      <c r="B41" s="130" t="str">
        <f ca="1">IF($A41=0,"",OFFSET(PO!K$12,ROW(B41)-ROW(B$12),0))</f>
        <v>4.4.</v>
      </c>
      <c r="C41" s="127" t="str">
        <f ca="1">IF(OFFSET(PO!N$12,ROW(C41)-ROW(C$12),0)=0,"",OFFSET(PO!N$12,ROW(C41)-ROW(C$12),0))</f>
        <v>EXECUÇÃO DE IMPRIMAÇÃO COM ASFALTO DILUÍDO CM-30</v>
      </c>
      <c r="D41" s="129" t="str">
        <f ca="1">IF(OFFSET(PO!O$12,ROW(D41)-ROW(D$12),0)=0,"",OFFSET(PO!O$12,ROW(D41)-ROW(D$12),0))</f>
        <v>M2</v>
      </c>
      <c r="E41" s="165">
        <f ca="1">IF($A41&lt;&gt;"Serviço",0,ROUND(SUMIF($F$9:$P$9,"&lt;&gt;",$F41:$P41),15-13*PO!$X$3))</f>
        <v>3500</v>
      </c>
      <c r="F41" s="400">
        <f ca="1">OFFSET(PO!$P$12,ROW($E41)-ROW(F$12),0)</f>
        <v>3500</v>
      </c>
      <c r="G41" s="400"/>
      <c r="H41" s="400"/>
      <c r="I41" s="400"/>
      <c r="J41" s="400"/>
      <c r="K41" s="400"/>
      <c r="L41" s="400"/>
      <c r="M41" s="400"/>
      <c r="N41" s="400"/>
      <c r="O41" s="400"/>
      <c r="U41" s="215"/>
    </row>
    <row r="42" spans="1:21" s="4" customFormat="1" ht="26.4" x14ac:dyDescent="0.25">
      <c r="A42" s="128" t="str">
        <f ca="1">OFFSET(PO!J$12,ROW(A42)-ROW($A$12),0)</f>
        <v>Serviço</v>
      </c>
      <c r="B42" s="130" t="str">
        <f ca="1">IF($A42=0,"",OFFSET(PO!K$12,ROW(B42)-ROW(B$12),0))</f>
        <v>4.5.</v>
      </c>
      <c r="C42" s="127" t="str">
        <f ca="1">IF(OFFSET(PO!N$12,ROW(C42)-ROW(C$12),0)=0,"",OFFSET(PO!N$12,ROW(C42)-ROW(C$12),0))</f>
        <v>EXECUÇÃO DE PINTURA DE LIGAÇÃO COM EMULSÃO ASFÁLTICA RR-2C</v>
      </c>
      <c r="D42" s="129" t="str">
        <f ca="1">IF(OFFSET(PO!O$12,ROW(D42)-ROW(D$12),0)=0,"",OFFSET(PO!O$12,ROW(D42)-ROW(D$12),0))</f>
        <v>M2</v>
      </c>
      <c r="E42" s="165">
        <f ca="1">IF($A42&lt;&gt;"Serviço",0,ROUND(SUMIF($F$9:$P$9,"&lt;&gt;",$F42:$P42),15-13*PO!$X$3))</f>
        <v>3500</v>
      </c>
      <c r="F42" s="400">
        <f ca="1">OFFSET(PO!$P$12,ROW($E42)-ROW(F$12),0)</f>
        <v>3500</v>
      </c>
      <c r="G42" s="400"/>
      <c r="H42" s="400"/>
      <c r="I42" s="400"/>
      <c r="J42" s="400"/>
      <c r="K42" s="400"/>
      <c r="L42" s="400"/>
      <c r="M42" s="400"/>
      <c r="N42" s="400"/>
      <c r="O42" s="400"/>
      <c r="U42" s="215"/>
    </row>
    <row r="43" spans="1:21" s="4" customFormat="1" ht="39.6" x14ac:dyDescent="0.25">
      <c r="A43" s="128" t="str">
        <f ca="1">OFFSET(PO!J$12,ROW(A43)-ROW($A$12),0)</f>
        <v>Serviço</v>
      </c>
      <c r="B43" s="130" t="str">
        <f ca="1">IF($A43=0,"",OFFSET(PO!K$12,ROW(B43)-ROW(B$12),0))</f>
        <v>4.6.</v>
      </c>
      <c r="C43" s="127" t="str">
        <f ca="1">IF(OFFSET(PO!N$12,ROW(C43)-ROW(C$12),0)=0,"",OFFSET(PO!N$12,ROW(C43)-ROW(C$12),0))</f>
        <v>CONSTRUÇÃO DE PAVIMENTO COM APLICAÇÃO DE CONCRETO BETUMINOSO USINADO A QUENTE (CBUQ), CAMADA DE ROLAMENTO, COM ESPESSURA DE 5,0 CM</v>
      </c>
      <c r="D43" s="129" t="str">
        <f ca="1">IF(OFFSET(PO!O$12,ROW(D43)-ROW(D$12),0)=0,"",OFFSET(PO!O$12,ROW(D43)-ROW(D$12),0))</f>
        <v>M3</v>
      </c>
      <c r="E43" s="165">
        <f ca="1">IF($A43&lt;&gt;"Serviço",0,ROUND(SUMIF($F$9:$P$9,"&lt;&gt;",$F43:$P43),15-13*PO!$X$3))</f>
        <v>175</v>
      </c>
      <c r="F43" s="400">
        <f ca="1">OFFSET(PO!$P$12,ROW($E43)-ROW(F$12),0)</f>
        <v>175</v>
      </c>
      <c r="G43" s="400"/>
      <c r="H43" s="400"/>
      <c r="I43" s="400"/>
      <c r="J43" s="400"/>
      <c r="K43" s="400"/>
      <c r="L43" s="400"/>
      <c r="M43" s="400"/>
      <c r="N43" s="400"/>
      <c r="O43" s="400"/>
      <c r="U43" s="215"/>
    </row>
    <row r="44" spans="1:21" s="4" customFormat="1" x14ac:dyDescent="0.25">
      <c r="A44" s="128" t="str">
        <f ca="1">OFFSET(PO!J$12,ROW(A44)-ROW($A$12),0)</f>
        <v>Serviço</v>
      </c>
      <c r="B44" s="130" t="str">
        <f ca="1">IF($A44=0,"",OFFSET(PO!K$12,ROW(B44)-ROW(B$12),0))</f>
        <v>4.7.</v>
      </c>
      <c r="C44" s="127" t="str">
        <f ca="1">IF(OFFSET(PO!N$12,ROW(C44)-ROW(C$12),0)=0,"",OFFSET(PO!N$12,ROW(C44)-ROW(C$12),0))</f>
        <v>Transporte com caminhão basculante de 10 m³ - rodovia pavimentada</v>
      </c>
      <c r="D44" s="129" t="str">
        <f ca="1">IF(OFFSET(PO!O$12,ROW(D44)-ROW(D$12),0)=0,"",OFFSET(PO!O$12,ROW(D44)-ROW(D$12),0))</f>
        <v>tkm</v>
      </c>
      <c r="E44" s="165">
        <f ca="1">IF($A44&lt;&gt;"Serviço",0,ROUND(SUMIF($F$9:$P$9,"&lt;&gt;",$F44:$P44),15-13*PO!$X$3))</f>
        <v>4200</v>
      </c>
      <c r="F44" s="400">
        <f ca="1">OFFSET(PO!$P$12,ROW($E44)-ROW(F$12),0)</f>
        <v>4200</v>
      </c>
      <c r="G44" s="400"/>
      <c r="H44" s="400"/>
      <c r="I44" s="400"/>
      <c r="J44" s="400"/>
      <c r="K44" s="400"/>
      <c r="L44" s="400"/>
      <c r="M44" s="400"/>
      <c r="N44" s="400"/>
      <c r="O44" s="400"/>
      <c r="U44" s="215"/>
    </row>
    <row r="45" spans="1:21" s="4" customFormat="1" x14ac:dyDescent="0.25">
      <c r="A45" s="128" t="str">
        <f ca="1">OFFSET(PO!J$12,ROW(A45)-ROW($A$12),0)</f>
        <v>Meta</v>
      </c>
      <c r="B45" s="130" t="str">
        <f ca="1">IF($A45=0,"",OFFSET(PO!K$12,ROW(B45)-ROW(B$12),0))</f>
        <v>5.</v>
      </c>
      <c r="C45" s="127" t="str">
        <f ca="1">IF(OFFSET(PO!N$12,ROW(C45)-ROW(C$12),0)=0,"",OFFSET(PO!N$12,ROW(C45)-ROW(C$12),0))</f>
        <v>SINALIZAÇÃO E SEGURANÇA VIÁRIA</v>
      </c>
      <c r="D45" s="129" t="str">
        <f ca="1">IF(OFFSET(PO!O$12,ROW(D45)-ROW(D$12),0)=0,"",OFFSET(PO!O$12,ROW(D45)-ROW(D$12),0))</f>
        <v/>
      </c>
      <c r="E45" s="165">
        <f ca="1">IF($A45&lt;&gt;"Serviço",0,ROUND(SUMIF($F$9:$P$9,"&lt;&gt;",$F45:$P45),15-13*PO!$X$3))</f>
        <v>0</v>
      </c>
      <c r="F45" s="400">
        <f ca="1">OFFSET(PO!$P$12,ROW($E45)-ROW(F$12),0)</f>
        <v>0</v>
      </c>
      <c r="G45" s="400"/>
      <c r="H45" s="400"/>
      <c r="I45" s="400"/>
      <c r="J45" s="400"/>
      <c r="K45" s="400"/>
      <c r="L45" s="400"/>
      <c r="M45" s="400"/>
      <c r="N45" s="400"/>
      <c r="O45" s="400"/>
      <c r="U45" s="215"/>
    </row>
    <row r="46" spans="1:21" s="4" customFormat="1" ht="26.4" x14ac:dyDescent="0.25">
      <c r="A46" s="128" t="str">
        <f ca="1">OFFSET(PO!J$12,ROW(A46)-ROW($A$12),0)</f>
        <v>Serviço</v>
      </c>
      <c r="B46" s="130" t="str">
        <f ca="1">IF($A46=0,"",OFFSET(PO!K$12,ROW(B46)-ROW(B$12),0))</f>
        <v>5.1.</v>
      </c>
      <c r="C46" s="127" t="str">
        <f ca="1">IF(OFFSET(PO!N$12,ROW(C46)-ROW(C$12),0)=0,"",OFFSET(PO!N$12,ROW(C46)-ROW(C$12),0))</f>
        <v>Pintura de faixa com plástico a frio tricomponente à base de resinas metacrílicas por aspersão - espessura de 0,6 mm</v>
      </c>
      <c r="D46" s="129" t="str">
        <f ca="1">IF(OFFSET(PO!O$12,ROW(D46)-ROW(D$12),0)=0,"",OFFSET(PO!O$12,ROW(D46)-ROW(D$12),0))</f>
        <v>m²</v>
      </c>
      <c r="E46" s="165">
        <f ca="1">IF($A46&lt;&gt;"Serviço",0,ROUND(SUMIF($F$9:$P$9,"&lt;&gt;",$F46:$P46),15-13*PO!$X$3))</f>
        <v>225</v>
      </c>
      <c r="F46" s="400">
        <f ca="1">OFFSET(PO!$P$12,ROW($E46)-ROW(F$12),0)</f>
        <v>225</v>
      </c>
      <c r="G46" s="400"/>
      <c r="H46" s="400"/>
      <c r="I46" s="400"/>
      <c r="J46" s="400"/>
      <c r="K46" s="400"/>
      <c r="L46" s="400"/>
      <c r="M46" s="400"/>
      <c r="N46" s="400"/>
      <c r="O46" s="400"/>
      <c r="U46" s="215"/>
    </row>
    <row r="47" spans="1:21" s="4" customFormat="1" ht="26.4" x14ac:dyDescent="0.25">
      <c r="A47" s="128" t="str">
        <f ca="1">OFFSET(PO!J$12,ROW(A47)-ROW($A$12),0)</f>
        <v>Serviço</v>
      </c>
      <c r="B47" s="130" t="str">
        <f ca="1">IF($A47=0,"",OFFSET(PO!K$12,ROW(B47)-ROW(B$12),0))</f>
        <v>5.2.</v>
      </c>
      <c r="C47" s="127" t="str">
        <f ca="1">IF(OFFSET(PO!N$12,ROW(C47)-ROW(C$12),0)=0,"",OFFSET(PO!N$12,ROW(C47)-ROW(C$12),0))</f>
        <v>Placa de advertência em aço, lado de 0,80 m - película retrorrefletiva tipo I + SI - fornecimento e implantação</v>
      </c>
      <c r="D47" s="129" t="str">
        <f ca="1">IF(OFFSET(PO!O$12,ROW(D47)-ROW(D$12),0)=0,"",OFFSET(PO!O$12,ROW(D47)-ROW(D$12),0))</f>
        <v>un</v>
      </c>
      <c r="E47" s="165">
        <f ca="1">IF($A47&lt;&gt;"Serviço",0,ROUND(SUMIF($F$9:$P$9,"&lt;&gt;",$F47:$P47),15-13*PO!$X$3))</f>
        <v>5</v>
      </c>
      <c r="F47" s="400">
        <f ca="1">OFFSET(PO!$P$12,ROW($E47)-ROW(F$12),0)</f>
        <v>5</v>
      </c>
      <c r="G47" s="400"/>
      <c r="H47" s="400"/>
      <c r="I47" s="400"/>
      <c r="J47" s="400"/>
      <c r="K47" s="400"/>
      <c r="L47" s="400"/>
      <c r="M47" s="400"/>
      <c r="N47" s="400"/>
      <c r="O47" s="400"/>
      <c r="U47" s="215"/>
    </row>
    <row r="48" spans="1:21" s="4" customFormat="1" x14ac:dyDescent="0.25">
      <c r="A48" s="128" t="str">
        <f ca="1">OFFSET(PO!J$12,ROW(A48)-ROW($A$12),0)</f>
        <v>Serviço</v>
      </c>
      <c r="B48" s="130" t="str">
        <f ca="1">IF($A48=0,"",OFFSET(PO!K$12,ROW(B48)-ROW(B$12),0))</f>
        <v>5.3.</v>
      </c>
      <c r="C48" s="127" t="str">
        <f ca="1">IF(OFFSET(PO!N$12,ROW(C48)-ROW(C$12),0)=0,"",OFFSET(PO!N$12,ROW(C48)-ROW(C$12),0))</f>
        <v>DESLOCAMENTO DE POSTE</v>
      </c>
      <c r="D48" s="129" t="str">
        <f ca="1">IF(OFFSET(PO!O$12,ROW(D48)-ROW(D$12),0)=0,"",OFFSET(PO!O$12,ROW(D48)-ROW(D$12),0))</f>
        <v>UN</v>
      </c>
      <c r="E48" s="165">
        <f ca="1">IF($A48&lt;&gt;"Serviço",0,ROUND(SUMIF($F$9:$P$9,"&lt;&gt;",$F48:$P48),15-13*PO!$X$3))</f>
        <v>2</v>
      </c>
      <c r="F48" s="400">
        <f ca="1">OFFSET(PO!$P$12,ROW($E48)-ROW(F$12),0)</f>
        <v>2</v>
      </c>
      <c r="G48" s="400"/>
      <c r="H48" s="400"/>
      <c r="I48" s="400"/>
      <c r="J48" s="400"/>
      <c r="K48" s="400"/>
      <c r="L48" s="400"/>
      <c r="M48" s="400"/>
      <c r="N48" s="400"/>
      <c r="O48" s="400"/>
      <c r="U48" s="215"/>
    </row>
    <row r="49" spans="1:21" s="4" customFormat="1" x14ac:dyDescent="0.25">
      <c r="A49" s="83"/>
      <c r="B49" s="83"/>
      <c r="C49" s="83"/>
      <c r="D49" s="83"/>
      <c r="E49" s="83"/>
      <c r="F49" s="83"/>
      <c r="G49" s="83"/>
      <c r="H49" s="83"/>
      <c r="I49" s="83"/>
      <c r="J49" s="83"/>
      <c r="K49" s="83"/>
      <c r="L49" s="83"/>
      <c r="M49" s="83"/>
      <c r="N49" s="83"/>
      <c r="O49" s="83"/>
      <c r="U49" s="83"/>
    </row>
    <row r="50" spans="1:21" s="4" customFormat="1" x14ac:dyDescent="0.25">
      <c r="B50" s="9"/>
      <c r="C50" s="14"/>
      <c r="D50" s="9"/>
      <c r="E50" s="16"/>
      <c r="F50" s="16"/>
      <c r="G50" s="16"/>
      <c r="H50" s="16"/>
      <c r="I50" s="16"/>
      <c r="J50" s="16"/>
      <c r="K50" s="16"/>
      <c r="L50" s="16"/>
      <c r="M50" s="16"/>
      <c r="N50" s="16"/>
      <c r="O50" s="16"/>
      <c r="U50" s="16"/>
    </row>
    <row r="51" spans="1:21" s="4" customFormat="1" x14ac:dyDescent="0.25">
      <c r="B51" s="372" t="str">
        <f>PO!$K$60</f>
        <v>BENTO GONÇALVES/RS</v>
      </c>
      <c r="C51" s="372"/>
      <c r="D51" s="9"/>
      <c r="E51" s="16"/>
      <c r="F51" s="16"/>
      <c r="G51" s="16"/>
      <c r="H51" s="16"/>
      <c r="I51" s="16"/>
      <c r="J51" s="16"/>
      <c r="K51" s="16"/>
      <c r="L51" s="16"/>
      <c r="M51" s="16"/>
      <c r="N51" s="16"/>
      <c r="O51" s="16"/>
      <c r="U51" s="16"/>
    </row>
    <row r="52" spans="1:21" s="4" customFormat="1" x14ac:dyDescent="0.25">
      <c r="B52" s="113" t="s">
        <v>120</v>
      </c>
      <c r="C52" s="14"/>
      <c r="D52" s="9"/>
      <c r="E52" s="16"/>
      <c r="F52" s="16"/>
      <c r="G52" s="16"/>
      <c r="H52" s="16"/>
      <c r="I52" s="16"/>
      <c r="J52" s="16"/>
      <c r="K52" s="16"/>
      <c r="L52" s="16"/>
      <c r="M52" s="16"/>
      <c r="N52" s="16"/>
      <c r="O52" s="16"/>
      <c r="U52" s="16"/>
    </row>
    <row r="53" spans="1:21" s="4" customFormat="1" x14ac:dyDescent="0.25">
      <c r="B53" s="14"/>
      <c r="C53" s="14"/>
      <c r="D53" s="9"/>
      <c r="E53" s="16"/>
      <c r="F53" s="16"/>
      <c r="G53" s="16"/>
      <c r="H53" s="16"/>
      <c r="I53" s="16"/>
      <c r="J53" s="16"/>
      <c r="K53" s="16"/>
      <c r="L53" s="16"/>
      <c r="M53" s="16"/>
      <c r="N53" s="16"/>
      <c r="O53" s="16"/>
      <c r="U53" s="16"/>
    </row>
    <row r="54" spans="1:21" s="4" customFormat="1" x14ac:dyDescent="0.25">
      <c r="B54" s="373">
        <f ca="1">PO!$K$63</f>
        <v>45799</v>
      </c>
      <c r="C54" s="373"/>
      <c r="D54" s="9"/>
      <c r="E54" s="16"/>
      <c r="F54" s="16"/>
      <c r="G54" s="16"/>
      <c r="H54" s="16"/>
      <c r="I54" s="16"/>
      <c r="J54" s="16"/>
      <c r="K54" s="16"/>
      <c r="L54" s="16"/>
      <c r="M54" s="16"/>
      <c r="N54" s="16"/>
      <c r="O54" s="16"/>
      <c r="U54" s="16"/>
    </row>
    <row r="55" spans="1:21" s="4" customFormat="1" x14ac:dyDescent="0.25">
      <c r="B55" s="142" t="s">
        <v>121</v>
      </c>
      <c r="C55" s="143"/>
      <c r="D55" s="9"/>
      <c r="E55" s="16"/>
      <c r="F55" s="16"/>
      <c r="G55" s="16"/>
      <c r="H55" s="16"/>
      <c r="I55" s="16"/>
      <c r="J55" s="16"/>
      <c r="K55" s="16"/>
      <c r="L55" s="16"/>
      <c r="M55" s="16"/>
      <c r="N55" s="16"/>
      <c r="O55" s="16"/>
      <c r="U55" s="16"/>
    </row>
  </sheetData>
  <sheetProtection password="C95B" sheet="1" objects="1" scenarios="1"/>
  <mergeCells count="2">
    <mergeCell ref="B51:C51"/>
    <mergeCell ref="B54:C54"/>
  </mergeCells>
  <phoneticPr fontId="25" type="noConversion"/>
  <conditionalFormatting sqref="D11:E11 D13:E13 D45:E45 D21:E23 D25:E27 D47:E47 D35:E43">
    <cfRule type="expression" dxfId="219" priority="3880" stopIfTrue="1">
      <formula>$A11="Meta"</formula>
    </cfRule>
    <cfRule type="expression" dxfId="218" priority="3881" stopIfTrue="1">
      <formula>$A11&lt;&gt;"Serviço"</formula>
    </cfRule>
  </conditionalFormatting>
  <conditionalFormatting sqref="C11 C13 C45 C21:C23 C25:C27 C47 C35:C43">
    <cfRule type="expression" dxfId="217" priority="3882" stopIfTrue="1">
      <formula>$A11="Meta"</formula>
    </cfRule>
    <cfRule type="expression" dxfId="216" priority="3883" stopIfTrue="1">
      <formula>$A11&lt;&gt;"Serviço"</formula>
    </cfRule>
  </conditionalFormatting>
  <conditionalFormatting sqref="A11:B11 A13:B13 A45:B45 A21:B23 A25:B27 A47:B47 A35:B43">
    <cfRule type="expression" dxfId="215" priority="3884" stopIfTrue="1">
      <formula>$A11="Meta"</formula>
    </cfRule>
    <cfRule type="expression" dxfId="214" priority="3885" stopIfTrue="1">
      <formula>LEFT($A11,5)="Nível"</formula>
    </cfRule>
    <cfRule type="expression" dxfId="213" priority="3886" stopIfTrue="1">
      <formula>$A11=0</formula>
    </cfRule>
  </conditionalFormatting>
  <conditionalFormatting sqref="U11 F13:O48 U13:U48">
    <cfRule type="expression" dxfId="212" priority="3896" stopIfTrue="1">
      <formula>$A11="Meta"</formula>
    </cfRule>
    <cfRule type="expression" dxfId="211" priority="3897" stopIfTrue="1">
      <formula>OR(F$9=0,$A11&lt;&gt;"Serviço")</formula>
    </cfRule>
    <cfRule type="expression" dxfId="210" priority="3898" stopIfTrue="1">
      <formula>TipoOrçamento="Licitado"</formula>
    </cfRule>
  </conditionalFormatting>
  <conditionalFormatting sqref="U9">
    <cfRule type="expression" dxfId="209" priority="3318" stopIfTrue="1">
      <formula>AND(T9=0,U9=0)</formula>
    </cfRule>
    <cfRule type="expression" dxfId="208" priority="3319" stopIfTrue="1">
      <formula>TipoOrçamento="Licitado"</formula>
    </cfRule>
  </conditionalFormatting>
  <conditionalFormatting sqref="F11:O11">
    <cfRule type="expression" dxfId="207" priority="3278" stopIfTrue="1">
      <formula>$A11="Meta"</formula>
    </cfRule>
    <cfRule type="expression" dxfId="206" priority="3279" stopIfTrue="1">
      <formula>OR(F$9=0,$A11&lt;&gt;"Serviço")</formula>
    </cfRule>
    <cfRule type="expression" dxfId="205" priority="3280" stopIfTrue="1">
      <formula>TipoOrçamento="Licitado"</formula>
    </cfRule>
  </conditionalFormatting>
  <conditionalFormatting sqref="F9:O9">
    <cfRule type="expression" dxfId="204" priority="3276" stopIfTrue="1">
      <formula>AND(E9=0,F9=0)</formula>
    </cfRule>
    <cfRule type="expression" dxfId="203" priority="3277" stopIfTrue="1">
      <formula>TipoOrçamento="Licitado"</formula>
    </cfRule>
  </conditionalFormatting>
  <conditionalFormatting sqref="D17:E17">
    <cfRule type="expression" dxfId="202" priority="1135" stopIfTrue="1">
      <formula>$A17="Meta"</formula>
    </cfRule>
    <cfRule type="expression" dxfId="201" priority="1136" stopIfTrue="1">
      <formula>$A17&lt;&gt;"Serviço"</formula>
    </cfRule>
  </conditionalFormatting>
  <conditionalFormatting sqref="C17">
    <cfRule type="expression" dxfId="200" priority="1137" stopIfTrue="1">
      <formula>$A17="Meta"</formula>
    </cfRule>
    <cfRule type="expression" dxfId="199" priority="1138" stopIfTrue="1">
      <formula>$A17&lt;&gt;"Serviço"</formula>
    </cfRule>
  </conditionalFormatting>
  <conditionalFormatting sqref="A17:B17">
    <cfRule type="expression" dxfId="198" priority="1139" stopIfTrue="1">
      <formula>$A17="Meta"</formula>
    </cfRule>
    <cfRule type="expression" dxfId="197" priority="1140" stopIfTrue="1">
      <formula>LEFT($A17,5)="Nível"</formula>
    </cfRule>
    <cfRule type="expression" dxfId="196" priority="1141" stopIfTrue="1">
      <formula>$A17=0</formula>
    </cfRule>
  </conditionalFormatting>
  <conditionalFormatting sqref="D19:E19">
    <cfRule type="expression" dxfId="195" priority="1057" stopIfTrue="1">
      <formula>$A19="Meta"</formula>
    </cfRule>
    <cfRule type="expression" dxfId="194" priority="1058" stopIfTrue="1">
      <formula>$A19&lt;&gt;"Serviço"</formula>
    </cfRule>
  </conditionalFormatting>
  <conditionalFormatting sqref="C19">
    <cfRule type="expression" dxfId="193" priority="1059" stopIfTrue="1">
      <formula>$A19="Meta"</formula>
    </cfRule>
    <cfRule type="expression" dxfId="192" priority="1060" stopIfTrue="1">
      <formula>$A19&lt;&gt;"Serviço"</formula>
    </cfRule>
  </conditionalFormatting>
  <conditionalFormatting sqref="A19:B19">
    <cfRule type="expression" dxfId="191" priority="1061" stopIfTrue="1">
      <formula>$A19="Meta"</formula>
    </cfRule>
    <cfRule type="expression" dxfId="190" priority="1062" stopIfTrue="1">
      <formula>LEFT($A19,5)="Nível"</formula>
    </cfRule>
    <cfRule type="expression" dxfId="189" priority="1063" stopIfTrue="1">
      <formula>$A19=0</formula>
    </cfRule>
  </conditionalFormatting>
  <conditionalFormatting sqref="D15:E16">
    <cfRule type="expression" dxfId="188" priority="1044" stopIfTrue="1">
      <formula>$A15="Meta"</formula>
    </cfRule>
    <cfRule type="expression" dxfId="187" priority="1045" stopIfTrue="1">
      <formula>$A15&lt;&gt;"Serviço"</formula>
    </cfRule>
  </conditionalFormatting>
  <conditionalFormatting sqref="C15:C16">
    <cfRule type="expression" dxfId="186" priority="1046" stopIfTrue="1">
      <formula>$A15="Meta"</formula>
    </cfRule>
    <cfRule type="expression" dxfId="185" priority="1047" stopIfTrue="1">
      <formula>$A15&lt;&gt;"Serviço"</formula>
    </cfRule>
  </conditionalFormatting>
  <conditionalFormatting sqref="A15:B16">
    <cfRule type="expression" dxfId="184" priority="1048" stopIfTrue="1">
      <formula>$A15="Meta"</formula>
    </cfRule>
    <cfRule type="expression" dxfId="183" priority="1049" stopIfTrue="1">
      <formula>LEFT($A15,5)="Nível"</formula>
    </cfRule>
    <cfRule type="expression" dxfId="182" priority="1050" stopIfTrue="1">
      <formula>$A15=0</formula>
    </cfRule>
  </conditionalFormatting>
  <conditionalFormatting sqref="D18:E18">
    <cfRule type="expression" dxfId="181" priority="810" stopIfTrue="1">
      <formula>$A18="Meta"</formula>
    </cfRule>
    <cfRule type="expression" dxfId="180" priority="811" stopIfTrue="1">
      <formula>$A18&lt;&gt;"Serviço"</formula>
    </cfRule>
  </conditionalFormatting>
  <conditionalFormatting sqref="C18">
    <cfRule type="expression" dxfId="179" priority="812" stopIfTrue="1">
      <formula>$A18="Meta"</formula>
    </cfRule>
    <cfRule type="expression" dxfId="178" priority="813" stopIfTrue="1">
      <formula>$A18&lt;&gt;"Serviço"</formula>
    </cfRule>
  </conditionalFormatting>
  <conditionalFormatting sqref="A18:B18">
    <cfRule type="expression" dxfId="177" priority="814" stopIfTrue="1">
      <formula>$A18="Meta"</formula>
    </cfRule>
    <cfRule type="expression" dxfId="176" priority="815" stopIfTrue="1">
      <formula>LEFT($A18,5)="Nível"</formula>
    </cfRule>
    <cfRule type="expression" dxfId="175" priority="816" stopIfTrue="1">
      <formula>$A18=0</formula>
    </cfRule>
  </conditionalFormatting>
  <conditionalFormatting sqref="D14:E14">
    <cfRule type="expression" dxfId="174" priority="589" stopIfTrue="1">
      <formula>$A14="Meta"</formula>
    </cfRule>
    <cfRule type="expression" dxfId="173" priority="590" stopIfTrue="1">
      <formula>$A14&lt;&gt;"Serviço"</formula>
    </cfRule>
  </conditionalFormatting>
  <conditionalFormatting sqref="C14">
    <cfRule type="expression" dxfId="172" priority="591" stopIfTrue="1">
      <formula>$A14="Meta"</formula>
    </cfRule>
    <cfRule type="expression" dxfId="171" priority="592" stopIfTrue="1">
      <formula>$A14&lt;&gt;"Serviço"</formula>
    </cfRule>
  </conditionalFormatting>
  <conditionalFormatting sqref="A14:B14">
    <cfRule type="expression" dxfId="170" priority="593" stopIfTrue="1">
      <formula>$A14="Meta"</formula>
    </cfRule>
    <cfRule type="expression" dxfId="169" priority="594" stopIfTrue="1">
      <formula>LEFT($A14,5)="Nível"</formula>
    </cfRule>
    <cfRule type="expression" dxfId="168" priority="595" stopIfTrue="1">
      <formula>$A14=0</formula>
    </cfRule>
  </conditionalFormatting>
  <conditionalFormatting sqref="D20:E20">
    <cfRule type="expression" dxfId="167" priority="498" stopIfTrue="1">
      <formula>$A20="Meta"</formula>
    </cfRule>
    <cfRule type="expression" dxfId="166" priority="499" stopIfTrue="1">
      <formula>$A20&lt;&gt;"Serviço"</formula>
    </cfRule>
  </conditionalFormatting>
  <conditionalFormatting sqref="C20">
    <cfRule type="expression" dxfId="165" priority="500" stopIfTrue="1">
      <formula>$A20="Meta"</formula>
    </cfRule>
    <cfRule type="expression" dxfId="164" priority="501" stopIfTrue="1">
      <formula>$A20&lt;&gt;"Serviço"</formula>
    </cfRule>
  </conditionalFormatting>
  <conditionalFormatting sqref="A20:B20">
    <cfRule type="expression" dxfId="163" priority="502" stopIfTrue="1">
      <formula>$A20="Meta"</formula>
    </cfRule>
    <cfRule type="expression" dxfId="162" priority="503" stopIfTrue="1">
      <formula>LEFT($A20,5)="Nível"</formula>
    </cfRule>
    <cfRule type="expression" dxfId="161" priority="504" stopIfTrue="1">
      <formula>$A20=0</formula>
    </cfRule>
  </conditionalFormatting>
  <conditionalFormatting sqref="D24:E24">
    <cfRule type="expression" dxfId="160" priority="368" stopIfTrue="1">
      <formula>$A24="Meta"</formula>
    </cfRule>
    <cfRule type="expression" dxfId="159" priority="369" stopIfTrue="1">
      <formula>$A24&lt;&gt;"Serviço"</formula>
    </cfRule>
  </conditionalFormatting>
  <conditionalFormatting sqref="C24">
    <cfRule type="expression" dxfId="158" priority="370" stopIfTrue="1">
      <formula>$A24="Meta"</formula>
    </cfRule>
    <cfRule type="expression" dxfId="157" priority="371" stopIfTrue="1">
      <formula>$A24&lt;&gt;"Serviço"</formula>
    </cfRule>
  </conditionalFormatting>
  <conditionalFormatting sqref="A24:B24">
    <cfRule type="expression" dxfId="156" priority="372" stopIfTrue="1">
      <formula>$A24="Meta"</formula>
    </cfRule>
    <cfRule type="expression" dxfId="155" priority="373" stopIfTrue="1">
      <formula>LEFT($A24,5)="Nível"</formula>
    </cfRule>
    <cfRule type="expression" dxfId="154" priority="374" stopIfTrue="1">
      <formula>$A24=0</formula>
    </cfRule>
  </conditionalFormatting>
  <conditionalFormatting sqref="D28:E28">
    <cfRule type="expression" dxfId="153" priority="290" stopIfTrue="1">
      <formula>$A28="Meta"</formula>
    </cfRule>
    <cfRule type="expression" dxfId="152" priority="291" stopIfTrue="1">
      <formula>$A28&lt;&gt;"Serviço"</formula>
    </cfRule>
  </conditionalFormatting>
  <conditionalFormatting sqref="C28">
    <cfRule type="expression" dxfId="151" priority="292" stopIfTrue="1">
      <formula>$A28="Meta"</formula>
    </cfRule>
    <cfRule type="expression" dxfId="150" priority="293" stopIfTrue="1">
      <formula>$A28&lt;&gt;"Serviço"</formula>
    </cfRule>
  </conditionalFormatting>
  <conditionalFormatting sqref="A28:B28">
    <cfRule type="expression" dxfId="149" priority="294" stopIfTrue="1">
      <formula>$A28="Meta"</formula>
    </cfRule>
    <cfRule type="expression" dxfId="148" priority="295" stopIfTrue="1">
      <formula>LEFT($A28,5)="Nível"</formula>
    </cfRule>
    <cfRule type="expression" dxfId="147" priority="296" stopIfTrue="1">
      <formula>$A28=0</formula>
    </cfRule>
  </conditionalFormatting>
  <conditionalFormatting sqref="D29:E29">
    <cfRule type="expression" dxfId="146" priority="277" stopIfTrue="1">
      <formula>$A29="Meta"</formula>
    </cfRule>
    <cfRule type="expression" dxfId="145" priority="278" stopIfTrue="1">
      <formula>$A29&lt;&gt;"Serviço"</formula>
    </cfRule>
  </conditionalFormatting>
  <conditionalFormatting sqref="C29">
    <cfRule type="expression" dxfId="144" priority="279" stopIfTrue="1">
      <formula>$A29="Meta"</formula>
    </cfRule>
    <cfRule type="expression" dxfId="143" priority="280" stopIfTrue="1">
      <formula>$A29&lt;&gt;"Serviço"</formula>
    </cfRule>
  </conditionalFormatting>
  <conditionalFormatting sqref="A29:B29">
    <cfRule type="expression" dxfId="142" priority="281" stopIfTrue="1">
      <formula>$A29="Meta"</formula>
    </cfRule>
    <cfRule type="expression" dxfId="141" priority="282" stopIfTrue="1">
      <formula>LEFT($A29,5)="Nível"</formula>
    </cfRule>
    <cfRule type="expression" dxfId="140" priority="283" stopIfTrue="1">
      <formula>$A29=0</formula>
    </cfRule>
  </conditionalFormatting>
  <conditionalFormatting sqref="D31:E31">
    <cfRule type="expression" dxfId="139" priority="251" stopIfTrue="1">
      <formula>$A31="Meta"</formula>
    </cfRule>
    <cfRule type="expression" dxfId="138" priority="252" stopIfTrue="1">
      <formula>$A31&lt;&gt;"Serviço"</formula>
    </cfRule>
  </conditionalFormatting>
  <conditionalFormatting sqref="C31">
    <cfRule type="expression" dxfId="137" priority="253" stopIfTrue="1">
      <formula>$A31="Meta"</formula>
    </cfRule>
    <cfRule type="expression" dxfId="136" priority="254" stopIfTrue="1">
      <formula>$A31&lt;&gt;"Serviço"</formula>
    </cfRule>
  </conditionalFormatting>
  <conditionalFormatting sqref="A31:B31">
    <cfRule type="expression" dxfId="135" priority="255" stopIfTrue="1">
      <formula>$A31="Meta"</formula>
    </cfRule>
    <cfRule type="expression" dxfId="134" priority="256" stopIfTrue="1">
      <formula>LEFT($A31,5)="Nível"</formula>
    </cfRule>
    <cfRule type="expression" dxfId="133" priority="257" stopIfTrue="1">
      <formula>$A31=0</formula>
    </cfRule>
  </conditionalFormatting>
  <conditionalFormatting sqref="D32:E32">
    <cfRule type="expression" dxfId="132" priority="238" stopIfTrue="1">
      <formula>$A32="Meta"</formula>
    </cfRule>
    <cfRule type="expression" dxfId="131" priority="239" stopIfTrue="1">
      <formula>$A32&lt;&gt;"Serviço"</formula>
    </cfRule>
  </conditionalFormatting>
  <conditionalFormatting sqref="C32">
    <cfRule type="expression" dxfId="130" priority="240" stopIfTrue="1">
      <formula>$A32="Meta"</formula>
    </cfRule>
    <cfRule type="expression" dxfId="129" priority="241" stopIfTrue="1">
      <formula>$A32&lt;&gt;"Serviço"</formula>
    </cfRule>
  </conditionalFormatting>
  <conditionalFormatting sqref="A32:B32">
    <cfRule type="expression" dxfId="128" priority="242" stopIfTrue="1">
      <formula>$A32="Meta"</formula>
    </cfRule>
    <cfRule type="expression" dxfId="127" priority="243" stopIfTrue="1">
      <formula>LEFT($A32,5)="Nível"</formula>
    </cfRule>
    <cfRule type="expression" dxfId="126" priority="244" stopIfTrue="1">
      <formula>$A32=0</formula>
    </cfRule>
  </conditionalFormatting>
  <conditionalFormatting sqref="D33:E33">
    <cfRule type="expression" dxfId="125" priority="212" stopIfTrue="1">
      <formula>$A33="Meta"</formula>
    </cfRule>
    <cfRule type="expression" dxfId="124" priority="213" stopIfTrue="1">
      <formula>$A33&lt;&gt;"Serviço"</formula>
    </cfRule>
  </conditionalFormatting>
  <conditionalFormatting sqref="C33">
    <cfRule type="expression" dxfId="123" priority="214" stopIfTrue="1">
      <formula>$A33="Meta"</formula>
    </cfRule>
    <cfRule type="expression" dxfId="122" priority="215" stopIfTrue="1">
      <formula>$A33&lt;&gt;"Serviço"</formula>
    </cfRule>
  </conditionalFormatting>
  <conditionalFormatting sqref="A33:B33">
    <cfRule type="expression" dxfId="121" priority="216" stopIfTrue="1">
      <formula>$A33="Meta"</formula>
    </cfRule>
    <cfRule type="expression" dxfId="120" priority="217" stopIfTrue="1">
      <formula>LEFT($A33,5)="Nível"</formula>
    </cfRule>
    <cfRule type="expression" dxfId="119" priority="218" stopIfTrue="1">
      <formula>$A33=0</formula>
    </cfRule>
  </conditionalFormatting>
  <conditionalFormatting sqref="D34:E34">
    <cfRule type="expression" dxfId="118" priority="199" stopIfTrue="1">
      <formula>$A34="Meta"</formula>
    </cfRule>
    <cfRule type="expression" dxfId="117" priority="200" stopIfTrue="1">
      <formula>$A34&lt;&gt;"Serviço"</formula>
    </cfRule>
  </conditionalFormatting>
  <conditionalFormatting sqref="C34">
    <cfRule type="expression" dxfId="116" priority="201" stopIfTrue="1">
      <formula>$A34="Meta"</formula>
    </cfRule>
    <cfRule type="expression" dxfId="115" priority="202" stopIfTrue="1">
      <formula>$A34&lt;&gt;"Serviço"</formula>
    </cfRule>
  </conditionalFormatting>
  <conditionalFormatting sqref="A34:B34">
    <cfRule type="expression" dxfId="114" priority="203" stopIfTrue="1">
      <formula>$A34="Meta"</formula>
    </cfRule>
    <cfRule type="expression" dxfId="113" priority="204" stopIfTrue="1">
      <formula>LEFT($A34,5)="Nível"</formula>
    </cfRule>
    <cfRule type="expression" dxfId="112" priority="205" stopIfTrue="1">
      <formula>$A34=0</formula>
    </cfRule>
  </conditionalFormatting>
  <conditionalFormatting sqref="D46:E46">
    <cfRule type="expression" dxfId="111" priority="134" stopIfTrue="1">
      <formula>$A46="Meta"</formula>
    </cfRule>
    <cfRule type="expression" dxfId="110" priority="135" stopIfTrue="1">
      <formula>$A46&lt;&gt;"Serviço"</formula>
    </cfRule>
  </conditionalFormatting>
  <conditionalFormatting sqref="C46">
    <cfRule type="expression" dxfId="109" priority="136" stopIfTrue="1">
      <formula>$A46="Meta"</formula>
    </cfRule>
    <cfRule type="expression" dxfId="108" priority="137" stopIfTrue="1">
      <formula>$A46&lt;&gt;"Serviço"</formula>
    </cfRule>
  </conditionalFormatting>
  <conditionalFormatting sqref="A46:B46">
    <cfRule type="expression" dxfId="107" priority="138" stopIfTrue="1">
      <formula>$A46="Meta"</formula>
    </cfRule>
    <cfRule type="expression" dxfId="106" priority="139" stopIfTrue="1">
      <formula>LEFT($A46,5)="Nível"</formula>
    </cfRule>
    <cfRule type="expression" dxfId="105" priority="140" stopIfTrue="1">
      <formula>$A46=0</formula>
    </cfRule>
  </conditionalFormatting>
  <conditionalFormatting sqref="D48:E48">
    <cfRule type="expression" dxfId="104" priority="121" stopIfTrue="1">
      <formula>$A48="Meta"</formula>
    </cfRule>
    <cfRule type="expression" dxfId="103" priority="122" stopIfTrue="1">
      <formula>$A48&lt;&gt;"Serviço"</formula>
    </cfRule>
  </conditionalFormatting>
  <conditionalFormatting sqref="C48">
    <cfRule type="expression" dxfId="102" priority="123" stopIfTrue="1">
      <formula>$A48="Meta"</formula>
    </cfRule>
    <cfRule type="expression" dxfId="101" priority="124" stopIfTrue="1">
      <formula>$A48&lt;&gt;"Serviço"</formula>
    </cfRule>
  </conditionalFormatting>
  <conditionalFormatting sqref="A48:B48">
    <cfRule type="expression" dxfId="100" priority="125" stopIfTrue="1">
      <formula>$A48="Meta"</formula>
    </cfRule>
    <cfRule type="expression" dxfId="99" priority="126" stopIfTrue="1">
      <formula>LEFT($A48,5)="Nível"</formula>
    </cfRule>
    <cfRule type="expression" dxfId="98" priority="127" stopIfTrue="1">
      <formula>$A48=0</formula>
    </cfRule>
  </conditionalFormatting>
  <conditionalFormatting sqref="D44:E44">
    <cfRule type="expression" dxfId="97" priority="69" stopIfTrue="1">
      <formula>$A44="Meta"</formula>
    </cfRule>
    <cfRule type="expression" dxfId="96" priority="70" stopIfTrue="1">
      <formula>$A44&lt;&gt;"Serviço"</formula>
    </cfRule>
  </conditionalFormatting>
  <conditionalFormatting sqref="C44">
    <cfRule type="expression" dxfId="95" priority="71" stopIfTrue="1">
      <formula>$A44="Meta"</formula>
    </cfRule>
    <cfRule type="expression" dxfId="94" priority="72" stopIfTrue="1">
      <formula>$A44&lt;&gt;"Serviço"</formula>
    </cfRule>
  </conditionalFormatting>
  <conditionalFormatting sqref="A44:B44">
    <cfRule type="expression" dxfId="93" priority="73" stopIfTrue="1">
      <formula>$A44="Meta"</formula>
    </cfRule>
    <cfRule type="expression" dxfId="92" priority="74" stopIfTrue="1">
      <formula>LEFT($A44,5)="Nível"</formula>
    </cfRule>
    <cfRule type="expression" dxfId="91" priority="75" stopIfTrue="1">
      <formula>$A44=0</formula>
    </cfRule>
  </conditionalFormatting>
  <conditionalFormatting sqref="D30:E30">
    <cfRule type="expression" dxfId="90" priority="30" stopIfTrue="1">
      <formula>$A30="Meta"</formula>
    </cfRule>
    <cfRule type="expression" dxfId="89" priority="31" stopIfTrue="1">
      <formula>$A30&lt;&gt;"Serviço"</formula>
    </cfRule>
  </conditionalFormatting>
  <conditionalFormatting sqref="C30">
    <cfRule type="expression" dxfId="88" priority="32" stopIfTrue="1">
      <formula>$A30="Meta"</formula>
    </cfRule>
    <cfRule type="expression" dxfId="87" priority="33" stopIfTrue="1">
      <formula>$A30&lt;&gt;"Serviço"</formula>
    </cfRule>
  </conditionalFormatting>
  <conditionalFormatting sqref="A30:B30">
    <cfRule type="expression" dxfId="86" priority="34" stopIfTrue="1">
      <formula>$A30="Meta"</formula>
    </cfRule>
    <cfRule type="expression" dxfId="85" priority="35" stopIfTrue="1">
      <formula>LEFT($A30,5)="Nível"</formula>
    </cfRule>
    <cfRule type="expression" dxfId="84" priority="36" stopIfTrue="1">
      <formula>$A30=0</formula>
    </cfRule>
  </conditionalFormatting>
  <dataValidations count="1">
    <dataValidation type="decimal" operator="greaterThanOrEqual" allowBlank="1" showInputMessage="1" showErrorMessage="1" error="Digite apenas números._x000a__x000a_preferencialmente com 02 casas de precisão." sqref="U11 F11:O11 U14:U48 F14:O48">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54 B51"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43"/>
  <sheetViews>
    <sheetView showGridLines="0" view="pageBreakPreview" topLeftCell="L7" zoomScale="90" zoomScaleSheetLayoutView="90" workbookViewId="0">
      <selection activeCell="P33" sqref="P33"/>
    </sheetView>
  </sheetViews>
  <sheetFormatPr defaultColWidth="9.109375" defaultRowHeight="13.2" x14ac:dyDescent="0.25"/>
  <cols>
    <col min="1" max="4" width="9.109375" style="42" hidden="1" customWidth="1"/>
    <col min="5" max="8" width="5.6640625" style="42" hidden="1" customWidth="1"/>
    <col min="9" max="10" width="6.6640625" style="42" hidden="1" customWidth="1"/>
    <col min="11" max="11" width="10.6640625" style="42" hidden="1" customWidth="1"/>
    <col min="12" max="12" width="10.6640625" style="42" customWidth="1"/>
    <col min="13" max="13" width="40.5546875" style="42" customWidth="1"/>
    <col min="14" max="14" width="16.44140625" style="47" customWidth="1"/>
    <col min="15" max="15" width="16.5546875" style="42" bestFit="1" customWidth="1"/>
    <col min="16" max="23" width="15.6640625" style="42" customWidth="1"/>
    <col min="24" max="24" width="0.88671875" style="46" customWidth="1"/>
    <col min="25" max="28" width="9.109375" style="42"/>
    <col min="29" max="29" width="15.6640625" style="42" hidden="1" customWidth="1"/>
    <col min="30" max="16384" width="9.109375" style="42"/>
  </cols>
  <sheetData>
    <row r="1" spans="1:29" s="41" customFormat="1" ht="12.9" customHeight="1" x14ac:dyDescent="0.25">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5">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5">
      <c r="A3" s="1"/>
      <c r="B3" s="1"/>
      <c r="C3" s="1"/>
      <c r="D3" s="1"/>
      <c r="E3" s="1"/>
      <c r="F3" s="1"/>
      <c r="G3" s="1"/>
      <c r="H3" s="1"/>
      <c r="I3" s="1"/>
      <c r="J3" s="1"/>
      <c r="K3" s="1"/>
      <c r="L3" s="1"/>
      <c r="M3" s="1"/>
      <c r="N3" s="1"/>
      <c r="O3" s="1"/>
      <c r="P3" s="1"/>
      <c r="Q3" s="1"/>
      <c r="R3" s="1"/>
      <c r="S3" s="82"/>
      <c r="T3" s="1"/>
      <c r="U3" s="1"/>
      <c r="V3" s="1"/>
      <c r="W3" s="1"/>
      <c r="X3" s="1"/>
      <c r="AC3" s="1"/>
    </row>
    <row r="4" spans="1:29" s="41" customFormat="1" ht="24.9" customHeight="1" x14ac:dyDescent="0.25">
      <c r="A4" s="1"/>
      <c r="B4" s="1"/>
      <c r="C4" s="1"/>
      <c r="D4" s="1"/>
      <c r="E4" s="1"/>
      <c r="F4" s="1"/>
      <c r="G4" s="1"/>
      <c r="H4" s="1"/>
      <c r="I4" s="1"/>
      <c r="J4" s="1"/>
      <c r="K4" s="1"/>
      <c r="L4" s="1"/>
      <c r="M4" s="1"/>
      <c r="N4" s="1"/>
      <c r="O4" s="1"/>
      <c r="P4" s="1"/>
      <c r="Q4" s="1"/>
      <c r="R4" s="1"/>
      <c r="S4" s="1"/>
      <c r="T4" s="1"/>
      <c r="U4" s="1"/>
      <c r="V4" s="1"/>
      <c r="W4" s="1"/>
      <c r="X4" s="1"/>
      <c r="AC4" s="1"/>
    </row>
    <row r="5" spans="1:29" s="41" customFormat="1" ht="24.9" customHeight="1" x14ac:dyDescent="0.25">
      <c r="A5" s="1"/>
      <c r="B5" s="1"/>
      <c r="C5" s="1"/>
      <c r="D5" s="1"/>
      <c r="E5" s="1"/>
      <c r="F5" s="1"/>
      <c r="G5" s="1"/>
      <c r="H5" s="1"/>
      <c r="I5" s="1"/>
      <c r="J5" s="1"/>
      <c r="K5" s="1"/>
      <c r="L5" s="1"/>
      <c r="M5" s="1"/>
      <c r="N5" s="1"/>
      <c r="O5" s="1"/>
      <c r="P5" s="1"/>
      <c r="Q5" s="1"/>
      <c r="R5" s="1"/>
      <c r="S5" s="1"/>
      <c r="T5" s="1"/>
      <c r="U5" s="1"/>
      <c r="V5" s="1"/>
      <c r="W5" s="1"/>
      <c r="X5" s="1"/>
      <c r="AC5" s="1"/>
    </row>
    <row r="6" spans="1:29" s="41" customFormat="1" ht="24.9" customHeight="1" x14ac:dyDescent="0.25">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5">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5">
      <c r="A8" s="177" t="s">
        <v>176</v>
      </c>
      <c r="B8" s="1"/>
      <c r="C8" s="1"/>
      <c r="D8" s="1"/>
      <c r="E8" s="1"/>
      <c r="F8" s="1"/>
      <c r="G8" s="1"/>
      <c r="H8" s="1"/>
      <c r="I8" s="1"/>
      <c r="J8" s="1"/>
      <c r="K8" s="1"/>
      <c r="L8" s="374" t="str">
        <f ca="1">IF(MAX($A$14:$A$34)&lt;&gt;MAX(PO!$V$12:$V$49),"ERRO: CRONOGRAMA DESATUALIZADO",IF(OR(COUNTIF($O$16:$X$16,"&gt;1")&gt;0,OFFSET($X$17,0,-1)&lt;&gt;$N$14),"ERRO: CRONOGRAMA NÃO FECHA EM 100%",""))</f>
        <v>ERRO: CRONOGRAMA NÃO FECHA EM 100%</v>
      </c>
      <c r="M8" s="374"/>
      <c r="N8" s="160" t="str">
        <f>IF(TipoOrçamento="REPROGRAMADOAC","Qtde de Medições realizadas","")</f>
        <v/>
      </c>
      <c r="O8" s="178"/>
      <c r="P8" s="179"/>
      <c r="Q8" s="1"/>
      <c r="R8" s="1"/>
      <c r="S8" s="1"/>
      <c r="T8" s="1"/>
      <c r="U8" s="1"/>
      <c r="V8" s="1"/>
      <c r="W8" s="1"/>
      <c r="X8" s="1"/>
      <c r="AC8" s="1"/>
    </row>
    <row r="9" spans="1:29" s="41" customFormat="1" ht="14.1" customHeight="1" x14ac:dyDescent="0.25">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5">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01/03/24</v>
      </c>
      <c r="P10" s="219" t="str">
        <f ca="1">IF(AND(TipoOrçamento="REPROGRAMADOAC",$N$9&gt;0,N10="Valores Totais (R$)"),"Parcela "&amp;$N$9&amp;" Executado","Parcela "&amp;P$9&amp;CHAR(10)&amp;TEXT(DATE(YEAR(DADOS!$A$48),MONTH(DADOS!$A$48)+P$9-IF(AND(TipoOrçamento="REPROGRAMADOAC",$N$9&gt;0),$N$9,0),1),"mmm/aa"))</f>
        <v>Parcela 1
abr/24</v>
      </c>
      <c r="Q10" s="210" t="str">
        <f ca="1">IF(AND(TipoOrçamento="REPROGRAMADOAC",$N$9&gt;0,O10="Valores Totais (R$)"),"Parcela "&amp;$N$9&amp;" Executado","Parcela "&amp;Q$9&amp;CHAR(10)&amp;TEXT(DATE(YEAR(DADOS!$A$48),MONTH(DADOS!$A$48)+Q$9-IF(AND(TipoOrçamento="REPROGRAMADOAC",$N$9&gt;0),$N$9,0),1),"mmm/aa"))</f>
        <v>Parcela 2
mai/24</v>
      </c>
      <c r="R10" s="210" t="str">
        <f ca="1">IF(AND(TipoOrçamento="REPROGRAMADOAC",$N$9&gt;0,P10="Valores Totais (R$)"),"Parcela "&amp;$N$9&amp;" Executado","Parcela "&amp;R$9&amp;CHAR(10)&amp;TEXT(DATE(YEAR(DADOS!$A$48),MONTH(DADOS!$A$48)+R$9-IF(AND(TipoOrçamento="REPROGRAMADOAC",$N$9&gt;0),$N$9,0),1),"mmm/aa"))</f>
        <v>Parcela 3
jun/24</v>
      </c>
      <c r="S10" s="210" t="str">
        <f ca="1">IF(AND(TipoOrçamento="REPROGRAMADOAC",$N$9&gt;0,Q10="Valores Totais (R$)"),"Parcela "&amp;$N$9&amp;" Executado","Parcela "&amp;S$9&amp;CHAR(10)&amp;TEXT(DATE(YEAR(DADOS!$A$48),MONTH(DADOS!$A$48)+S$9-IF(AND(TipoOrçamento="REPROGRAMADOAC",$N$9&gt;0),$N$9,0),1),"mmm/aa"))</f>
        <v>Parcela 4
jul/24</v>
      </c>
      <c r="T10" s="210" t="str">
        <f ca="1">IF(AND(TipoOrçamento="REPROGRAMADOAC",$N$9&gt;0,R10="Valores Totais (R$)"),"Parcela "&amp;$N$9&amp;" Executado","Parcela "&amp;T$9&amp;CHAR(10)&amp;TEXT(DATE(YEAR(DADOS!$A$48),MONTH(DADOS!$A$48)+T$9-IF(AND(TipoOrçamento="REPROGRAMADOAC",$N$9&gt;0),$N$9,0),1),"mmm/aa"))</f>
        <v>Parcela 5
ago/24</v>
      </c>
      <c r="U10" s="210" t="str">
        <f ca="1">IF(AND(TipoOrçamento="REPROGRAMADOAC",$N$9&gt;0,S10="Valores Totais (R$)"),"Parcela "&amp;$N$9&amp;" Executado","Parcela "&amp;U$9&amp;CHAR(10)&amp;TEXT(DATE(YEAR(DADOS!$A$48),MONTH(DADOS!$A$48)+U$9-IF(AND(TipoOrçamento="REPROGRAMADOAC",$N$9&gt;0),$N$9,0),1),"mmm/aa"))</f>
        <v>Parcela 6
set/24</v>
      </c>
      <c r="V10" s="210" t="str">
        <f ca="1">IF(AND(TipoOrçamento="REPROGRAMADOAC",$N$9&gt;0,T10="Valores Totais (R$)"),"Parcela "&amp;$N$9&amp;" Executado","Parcela "&amp;V$9&amp;CHAR(10)&amp;TEXT(DATE(YEAR(DADOS!$A$48),MONTH(DADOS!$A$48)+V$9-IF(AND(TipoOrçamento="REPROGRAMADOAC",$N$9&gt;0),$N$9,0),1),"mmm/aa"))</f>
        <v>Parcela 7
out/24</v>
      </c>
      <c r="W10" s="222" t="str">
        <f ca="1">IF(AND(TipoOrçamento="REPROGRAMADOAC",$N$9&gt;0,U10="Valores Totais (R$)"),"Parcela "&amp;$N$9&amp;" Executado","Parcela "&amp;W$9&amp;CHAR(10)&amp;TEXT(DATE(YEAR(DADOS!$A$48),MONTH(DADOS!$A$48)+W$9-IF(AND(TipoOrçamento="REPROGRAMADOAC",$N$9&gt;0),$N$9,0),1),"mmm/aa"))</f>
        <v>Parcela 8
nov/24</v>
      </c>
      <c r="X10" s="195"/>
      <c r="AC10" s="210" t="str">
        <f ca="1">IF(AND(TipoOrçamento="REPROGRAMADOAC",$N$9&gt;0,AA10="Valores Totais (R$)"),"Parcela "&amp;$N$9&amp;" Executado","Parcela "&amp;AC$9&amp;CHAR(10)&amp;TEXT(DATE(YEAR(DADOS!$A$48),MONTH(DADOS!$A$48)+AC$9-IF(AND(TipoOrçamento="REPROGRAMADOAC",$N$9&gt;0),$N$9,0),1),"mmm/aa"))</f>
        <v>Parcela 1
abr/24</v>
      </c>
    </row>
    <row r="11" spans="1:29" customFormat="1" ht="14.25" hidden="1" customHeight="1" x14ac:dyDescent="0.25">
      <c r="A11" s="82"/>
      <c r="B11" s="82"/>
      <c r="C11" s="82"/>
      <c r="D11" s="82"/>
      <c r="E11" s="82"/>
      <c r="F11" s="82"/>
      <c r="G11" s="82"/>
      <c r="H11" s="82"/>
      <c r="I11" s="82"/>
      <c r="J11" s="82"/>
      <c r="K11" s="82"/>
      <c r="L11" s="384" t="e">
        <f ca="1">INDEX(PO!K$12:K$49,MATCH($A13,PO!$V$12:$V$49,0))</f>
        <v>#VALUE!</v>
      </c>
      <c r="M11" s="377" t="e">
        <f ca="1">INDEX(PO!N$12:N$49,MATCH($A13,PO!$V$12:$V$49,0))</f>
        <v>#VALUE!</v>
      </c>
      <c r="N11" s="375"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3.8" hidden="1" x14ac:dyDescent="0.25">
      <c r="A12" s="184"/>
      <c r="B12" s="184"/>
      <c r="C12" s="184"/>
      <c r="D12" s="184"/>
      <c r="E12" s="184"/>
      <c r="F12" s="184"/>
      <c r="G12" s="184"/>
      <c r="H12" s="184"/>
      <c r="I12" s="184"/>
      <c r="J12" s="184"/>
      <c r="K12" s="184"/>
      <c r="L12" s="385"/>
      <c r="M12" s="378"/>
      <c r="N12" s="376"/>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3.8" hidden="1" x14ac:dyDescent="0.25">
      <c r="A13" s="184" t="e">
        <f ca="1">OFFSET(A13,-CFF.NumLinha,0)+1</f>
        <v>#VALUE!</v>
      </c>
      <c r="B13" s="184" t="e">
        <f ca="1">$C13&gt;=OFFSET($C13,CFF.NumLinha,0)</f>
        <v>#VALUE!</v>
      </c>
      <c r="C13" s="184" t="e">
        <f ca="1">INDEX(PO!A$12:A$49,MATCH($A13,PO!$V$12:$V$49,0))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MATCH(0,OFFSET($D13,1,$C13,ROW($A$33)-ROW($A13)),0)</f>
        <v>#VALUE!</v>
      </c>
      <c r="J13" s="184" t="e">
        <f ca="1">MATCH(OFFSET($D13,0,$C13)+1,OFFSET($D13,1,$C13,ROW($A$33)-ROW($A13)),0)</f>
        <v>#VALUE!</v>
      </c>
      <c r="K13" s="185" t="e">
        <f ca="1">ROUND(INDEX(PO!T$12:T$49,MATCH($A13,PO!$V$12:$V$49,0)),2)+10^-12</f>
        <v>#VALUE!</v>
      </c>
      <c r="L13" s="385"/>
      <c r="M13" s="378"/>
      <c r="N13" s="376"/>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5">
      <c r="A14" s="1"/>
      <c r="B14" s="1"/>
      <c r="C14" s="1"/>
      <c r="D14" s="1"/>
      <c r="E14" s="1"/>
      <c r="F14" s="1"/>
      <c r="G14" s="1"/>
      <c r="H14" s="1"/>
      <c r="I14" s="1"/>
      <c r="J14" s="1"/>
      <c r="K14" s="1"/>
      <c r="L14" s="386" t="s">
        <v>19</v>
      </c>
      <c r="M14" s="387"/>
      <c r="N14" s="392">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5">
      <c r="A15" s="1"/>
      <c r="B15" s="1"/>
      <c r="C15" s="1"/>
      <c r="D15" s="1"/>
      <c r="E15" s="1"/>
      <c r="F15" s="1"/>
      <c r="G15" s="1"/>
      <c r="H15" s="1"/>
      <c r="I15" s="1"/>
      <c r="J15" s="1"/>
      <c r="K15" s="1"/>
      <c r="L15" s="388"/>
      <c r="M15" s="389"/>
      <c r="N15" s="393"/>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5">
      <c r="A16" s="1"/>
      <c r="B16" s="1"/>
      <c r="C16" s="1"/>
      <c r="D16" s="1"/>
      <c r="E16" s="1"/>
      <c r="F16" s="1"/>
      <c r="G16" s="1"/>
      <c r="H16" s="1"/>
      <c r="I16" s="1"/>
      <c r="J16" s="1"/>
      <c r="K16" s="1"/>
      <c r="L16" s="388"/>
      <c r="M16" s="389"/>
      <c r="N16" s="393"/>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5">
      <c r="A17" s="114">
        <v>0</v>
      </c>
      <c r="B17" s="1"/>
      <c r="C17" s="1"/>
      <c r="D17" s="114">
        <f>ROW(D$33)-ROW(D18)</f>
        <v>15</v>
      </c>
      <c r="E17" s="1"/>
      <c r="F17" s="1"/>
      <c r="G17" s="1"/>
      <c r="H17" s="1"/>
      <c r="I17" s="1"/>
      <c r="J17" s="1"/>
      <c r="K17" s="1"/>
      <c r="L17" s="390"/>
      <c r="M17" s="391"/>
      <c r="N17" s="394"/>
      <c r="O17" s="158" t="s">
        <v>20</v>
      </c>
      <c r="P17" s="202">
        <f ca="1">SUMIF(OFFSET($C17,1,0):$C$33,1,OFFSET(P17,1,0):P$33)</f>
        <v>0</v>
      </c>
      <c r="Q17" s="152">
        <f ca="1">SUMIF(OFFSET($C17,1,0):$C$33,1,OFFSET(Q17,1,0):Q$33)</f>
        <v>0</v>
      </c>
      <c r="R17" s="152">
        <f ca="1">SUMIF(OFFSET($C17,1,0):$C$33,1,OFFSET(R17,1,0):R$33)</f>
        <v>0</v>
      </c>
      <c r="S17" s="152">
        <f ca="1">SUMIF(OFFSET($C17,1,0):$C$33,1,OFFSET(S17,1,0):S$33)</f>
        <v>0</v>
      </c>
      <c r="T17" s="152">
        <f ca="1">SUMIF(OFFSET($C17,1,0):$C$33,1,OFFSET(T17,1,0):T$33)</f>
        <v>0</v>
      </c>
      <c r="U17" s="152">
        <f ca="1">SUMIF(OFFSET($C17,1,0):$C$33,1,OFFSET(U17,1,0):U$33)</f>
        <v>0</v>
      </c>
      <c r="V17" s="152">
        <f ca="1">SUMIF(OFFSET($C17,1,0):$C$33,1,OFFSET(V17,1,0):V$33)</f>
        <v>0</v>
      </c>
      <c r="W17" s="152">
        <f ca="1">SUMIF(OFFSET($C17,1,0):$C$33,1,OFFSET(W17,1,0):W$33)</f>
        <v>0</v>
      </c>
      <c r="X17" s="171"/>
      <c r="AC17" s="152">
        <f ca="1">SUMIF(OFFSET($C17,1,0):$C$33,1,OFFSET(AC17,1,0):AC$33)</f>
        <v>0</v>
      </c>
    </row>
    <row r="18" spans="1:29" customFormat="1" ht="14.25" customHeight="1" x14ac:dyDescent="0.25">
      <c r="A18" s="1"/>
      <c r="B18" s="1"/>
      <c r="C18" s="1"/>
      <c r="D18" s="1"/>
      <c r="E18" s="1"/>
      <c r="F18" s="1"/>
      <c r="G18" s="1"/>
      <c r="H18" s="1"/>
      <c r="I18" s="1"/>
      <c r="J18" s="1"/>
      <c r="K18" s="1"/>
      <c r="L18" s="384" t="str">
        <f ca="1">INDEX(PO!K$12:K$49,MATCH($A20,PO!$V$12:$V$49,0))</f>
        <v>1.</v>
      </c>
      <c r="M18" s="377" t="str">
        <f ca="1">INDEX(PO!N$12:N$49,MATCH($A20,PO!$V$12:$V$49,0))</f>
        <v>SERVIÇOS PRELIMINARES E CANTEIRO</v>
      </c>
      <c r="N18" s="375">
        <f ca="1">IF(ROUND(K20,2)=0,K20,ROUND(K20,2))</f>
        <v>9.9999999999999998E-13</v>
      </c>
      <c r="O18" s="203" t="s">
        <v>143</v>
      </c>
      <c r="P18" s="225">
        <v>0.25</v>
      </c>
      <c r="Q18" s="226">
        <v>0.25</v>
      </c>
      <c r="R18" s="226">
        <v>0.25</v>
      </c>
      <c r="S18" s="226">
        <v>0.25</v>
      </c>
      <c r="T18" s="226">
        <v>0.125</v>
      </c>
      <c r="U18" s="226">
        <v>0.125</v>
      </c>
      <c r="V18" s="226">
        <v>0.125</v>
      </c>
      <c r="W18" s="227">
        <v>0.125</v>
      </c>
      <c r="X18" s="197" t="s">
        <v>106</v>
      </c>
      <c r="AC18" s="221">
        <f ca="1">IF($B20,0,AC19-IF(ISNUMBER(AB19),AB19,0))</f>
        <v>0</v>
      </c>
    </row>
    <row r="19" spans="1:29" customFormat="1" ht="13.8" x14ac:dyDescent="0.25">
      <c r="A19" s="1"/>
      <c r="B19" s="1"/>
      <c r="C19" s="1"/>
      <c r="D19" s="1"/>
      <c r="E19" s="1"/>
      <c r="F19" s="1"/>
      <c r="G19" s="1"/>
      <c r="H19" s="1"/>
      <c r="I19" s="1"/>
      <c r="J19" s="1"/>
      <c r="K19" s="1"/>
      <c r="L19" s="385"/>
      <c r="M19" s="378"/>
      <c r="N19" s="376"/>
      <c r="O19" s="170" t="s">
        <v>145</v>
      </c>
      <c r="P19" s="198">
        <f t="shared" ref="P19:W19" ca="1" si="7">MIN(IF($B20,P18+IF(ISNUMBER(O19),O19,0),P20/$N18),1)</f>
        <v>0.25</v>
      </c>
      <c r="Q19" s="168">
        <f t="shared" ca="1" si="7"/>
        <v>0.5</v>
      </c>
      <c r="R19" s="168">
        <f t="shared" ca="1" si="7"/>
        <v>0.75</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3.8" x14ac:dyDescent="0.25">
      <c r="A20" s="114">
        <f ca="1">OFFSET(A20,-CFF.NumLinha,0)+1</f>
        <v>1</v>
      </c>
      <c r="B20" s="1" t="b">
        <f ca="1">$C20&gt;=OFFSET($C20,CFF.NumLinha,0)</f>
        <v>1</v>
      </c>
      <c r="C20" s="184">
        <f ca="1">INDEX(PO!A$12:A$49,MATCH($A20,PO!$V$12:$V$49,0))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MATCH(0,OFFSET($D20,1,$C20,ROW($A$33)-ROW($A20)),0)</f>
        <v>13</v>
      </c>
      <c r="J20" s="184">
        <f ca="1">MATCH(OFFSET($D20,0,$C20)+1,OFFSET($D20,1,$C20,ROW($A$33)-ROW($A20)),0)</f>
        <v>3</v>
      </c>
      <c r="K20" s="185">
        <f ca="1">ROUND(INDEX(PO!T$12:T$49,MATCH($A20,PO!$V$12:$V$49,0)),2)+10^-12</f>
        <v>9.9999999999999998E-13</v>
      </c>
      <c r="L20" s="385"/>
      <c r="M20" s="378"/>
      <c r="N20" s="376"/>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5">
      <c r="A21" s="82"/>
      <c r="B21" s="82"/>
      <c r="C21" s="82"/>
      <c r="D21" s="82"/>
      <c r="E21" s="82"/>
      <c r="F21" s="82"/>
      <c r="G21" s="82"/>
      <c r="H21" s="82"/>
      <c r="I21" s="82"/>
      <c r="J21" s="82"/>
      <c r="K21" s="82"/>
      <c r="L21" s="384" t="str">
        <f ca="1">INDEX(PO!K$12:K$49,MATCH($A23,PO!$V$12:$V$49,0))</f>
        <v>2.</v>
      </c>
      <c r="M21" s="377" t="str">
        <f ca="1">INDEX(PO!N$12:N$49,MATCH($A23,PO!$V$12:$V$49,0))</f>
        <v>TERRAPLENAGEM</v>
      </c>
      <c r="N21" s="375">
        <f ca="1">IF(ROUND(K23,2)=0,K23,ROUND(K23,2))</f>
        <v>9.9999999999999998E-13</v>
      </c>
      <c r="O21" s="220" t="s">
        <v>143</v>
      </c>
      <c r="P21" s="225">
        <v>0.4</v>
      </c>
      <c r="Q21" s="226">
        <v>0.3</v>
      </c>
      <c r="R21" s="226">
        <v>0.3</v>
      </c>
      <c r="S21" s="226"/>
      <c r="T21" s="226"/>
      <c r="U21" s="226"/>
      <c r="V21" s="226"/>
      <c r="W21" s="227"/>
      <c r="X21" s="196"/>
      <c r="AC21" s="221">
        <f ca="1">IF($B23,0,AC22-IF(ISNUMBER(AB22),AB22,0))</f>
        <v>0</v>
      </c>
    </row>
    <row r="22" spans="1:29" customFormat="1" ht="13.8" x14ac:dyDescent="0.25">
      <c r="A22" s="184"/>
      <c r="B22" s="184"/>
      <c r="C22" s="184"/>
      <c r="D22" s="184"/>
      <c r="E22" s="184"/>
      <c r="F22" s="184"/>
      <c r="G22" s="184"/>
      <c r="H22" s="184"/>
      <c r="I22" s="184"/>
      <c r="J22" s="184"/>
      <c r="K22" s="184"/>
      <c r="L22" s="385"/>
      <c r="M22" s="378"/>
      <c r="N22" s="376"/>
      <c r="O22" s="170" t="s">
        <v>145</v>
      </c>
      <c r="P22" s="198">
        <f t="shared" ref="P22:W22" ca="1" si="9">MIN(IF($B23,P21+IF(ISNUMBER(O22),O22,0),P23/$N21),1)</f>
        <v>0.4</v>
      </c>
      <c r="Q22" s="168">
        <f t="shared" ca="1" si="9"/>
        <v>0.7</v>
      </c>
      <c r="R22" s="168">
        <f t="shared" ca="1" si="9"/>
        <v>1</v>
      </c>
      <c r="S22" s="168">
        <f t="shared" ca="1" si="9"/>
        <v>1</v>
      </c>
      <c r="T22" s="168">
        <f t="shared" ca="1" si="9"/>
        <v>1</v>
      </c>
      <c r="U22" s="168">
        <f t="shared" ca="1" si="9"/>
        <v>1</v>
      </c>
      <c r="V22" s="168">
        <f t="shared" ca="1" si="9"/>
        <v>1</v>
      </c>
      <c r="W22" s="168">
        <f t="shared" ca="1" si="9"/>
        <v>1</v>
      </c>
      <c r="X22" s="196"/>
      <c r="AC22" s="168">
        <f ca="1">MIN(IF($B23,AC21+IF(ISNUMBER(AB22),AB22,0),AC23/$N21),1)</f>
        <v>0</v>
      </c>
    </row>
    <row r="23" spans="1:29" customFormat="1" ht="13.8" x14ac:dyDescent="0.25">
      <c r="A23" s="184">
        <f ca="1">OFFSET(A23,-CFF.NumLinha,0)+1</f>
        <v>2</v>
      </c>
      <c r="B23" s="184" t="b">
        <f ca="1">$C23&gt;=OFFSET($C23,CFF.NumLinha,0)</f>
        <v>1</v>
      </c>
      <c r="C23" s="184">
        <f ca="1">INDEX(PO!A$12:A$49,MATCH($A23,PO!$V$12:$V$49,0))</f>
        <v>1</v>
      </c>
      <c r="D23" s="184">
        <f ca="1">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MATCH(0,OFFSET($D23,1,$C23,ROW($A$33)-ROW($A23)),0)</f>
        <v>10</v>
      </c>
      <c r="J23" s="184">
        <f ca="1">MATCH(OFFSET($D23,0,$C23)+1,OFFSET($D23,1,$C23,ROW($A$33)-ROW($A23)),0)</f>
        <v>3</v>
      </c>
      <c r="K23" s="185">
        <f ca="1">ROUND(INDEX(PO!T$12:T$49,MATCH($A23,PO!$V$12:$V$49,0)),2)+10^-12</f>
        <v>9.9999999999999998E-13</v>
      </c>
      <c r="L23" s="385"/>
      <c r="M23" s="378"/>
      <c r="N23" s="376"/>
      <c r="O23" s="204" t="s">
        <v>20</v>
      </c>
      <c r="P23" s="199">
        <f t="shared" ref="P23:W23" ca="1" si="10">IF($B23,ROUND(P22*$N21,2),ROUND(SUMIF(OFFSET($B23,1,0,$D23),TRUE,OFFSET(P23,1,0,$D23))/SUMIF(OFFSET($B23,1,0,$D23),TRUE,OFFSET($K23,1,0,$D23))*$N21,2))</f>
        <v>0</v>
      </c>
      <c r="Q23" s="169">
        <f t="shared" ca="1" si="10"/>
        <v>0</v>
      </c>
      <c r="R23" s="169">
        <f t="shared" ca="1" si="10"/>
        <v>0</v>
      </c>
      <c r="S23" s="169">
        <f t="shared" ca="1" si="10"/>
        <v>0</v>
      </c>
      <c r="T23" s="169">
        <f t="shared" ca="1" si="10"/>
        <v>0</v>
      </c>
      <c r="U23" s="169">
        <f t="shared" ca="1" si="10"/>
        <v>0</v>
      </c>
      <c r="V23" s="169">
        <f t="shared" ca="1" si="10"/>
        <v>0</v>
      </c>
      <c r="W23" s="207">
        <f t="shared" ca="1" si="10"/>
        <v>0</v>
      </c>
      <c r="X23" s="196"/>
      <c r="AC23" s="169">
        <f ca="1">IF($B23,ROUND(AC22*$N21,2),ROUND(SUMIF(OFFSET($B23,1,0,$D23),TRUE,OFFSET(AC23,1,0,$D23))/SUMIF(OFFSET($B23,1,0,$D23),TRUE,OFFSET($K23,1,0,$D23))*$N21,2))</f>
        <v>0</v>
      </c>
    </row>
    <row r="24" spans="1:29" customFormat="1" ht="14.25" customHeight="1" x14ac:dyDescent="0.25">
      <c r="A24" s="82"/>
      <c r="B24" s="82"/>
      <c r="C24" s="82"/>
      <c r="D24" s="82"/>
      <c r="E24" s="82"/>
      <c r="F24" s="82"/>
      <c r="G24" s="82"/>
      <c r="H24" s="82"/>
      <c r="I24" s="82"/>
      <c r="J24" s="82"/>
      <c r="K24" s="82"/>
      <c r="L24" s="384" t="str">
        <f ca="1">INDEX(PO!K$12:K$49,MATCH($A26,PO!$V$12:$V$49,0))</f>
        <v>3.</v>
      </c>
      <c r="M24" s="377" t="str">
        <f ca="1">INDEX(PO!N$12:N$49,MATCH($A26,PO!$V$12:$V$49,0))</f>
        <v>DRENAGEM</v>
      </c>
      <c r="N24" s="375">
        <f ca="1">IF(ROUND(K26,2)=0,K26,ROUND(K26,2))</f>
        <v>9.9999999999999998E-13</v>
      </c>
      <c r="O24" s="220" t="s">
        <v>143</v>
      </c>
      <c r="P24" s="225">
        <v>0</v>
      </c>
      <c r="Q24" s="226">
        <v>0.25</v>
      </c>
      <c r="R24" s="226">
        <v>0.35</v>
      </c>
      <c r="S24" s="226">
        <v>0.4</v>
      </c>
      <c r="T24" s="226"/>
      <c r="U24" s="226">
        <f ca="1">IF($B26,0,U25-IF(ISNUMBER(T25),T25,0))</f>
        <v>0</v>
      </c>
      <c r="V24" s="226">
        <f ca="1">IF($B26,0,V25-IF(ISNUMBER(U25),U25,0))</f>
        <v>0</v>
      </c>
      <c r="W24" s="227">
        <f ca="1">IF($B26,0,W25-IF(ISNUMBER(V25),V25,0))</f>
        <v>0</v>
      </c>
      <c r="X24" s="196"/>
      <c r="AC24" s="221">
        <f ca="1">IF($B26,0,AC25-IF(ISNUMBER(AB25),AB25,0))</f>
        <v>0</v>
      </c>
    </row>
    <row r="25" spans="1:29" customFormat="1" ht="13.8" x14ac:dyDescent="0.25">
      <c r="A25" s="184"/>
      <c r="B25" s="184"/>
      <c r="C25" s="184"/>
      <c r="D25" s="184"/>
      <c r="E25" s="184"/>
      <c r="F25" s="184"/>
      <c r="G25" s="184"/>
      <c r="H25" s="184"/>
      <c r="I25" s="184"/>
      <c r="J25" s="184"/>
      <c r="K25" s="184"/>
      <c r="L25" s="385"/>
      <c r="M25" s="378"/>
      <c r="N25" s="376"/>
      <c r="O25" s="170" t="s">
        <v>145</v>
      </c>
      <c r="P25" s="198">
        <f t="shared" ref="P25:W25" ca="1" si="11">MIN(IF($B26,P24+IF(ISNUMBER(O25),O25,0),P26/$N24),1)</f>
        <v>0</v>
      </c>
      <c r="Q25" s="168">
        <f t="shared" ca="1" si="11"/>
        <v>0.25</v>
      </c>
      <c r="R25" s="168">
        <f t="shared" ca="1" si="11"/>
        <v>0.6</v>
      </c>
      <c r="S25" s="168">
        <f t="shared" ca="1" si="11"/>
        <v>1</v>
      </c>
      <c r="T25" s="168">
        <f t="shared" ca="1" si="11"/>
        <v>1</v>
      </c>
      <c r="U25" s="168">
        <f t="shared" ca="1" si="11"/>
        <v>1</v>
      </c>
      <c r="V25" s="168">
        <f t="shared" ca="1" si="11"/>
        <v>1</v>
      </c>
      <c r="W25" s="168">
        <f t="shared" ca="1" si="11"/>
        <v>1</v>
      </c>
      <c r="X25" s="196"/>
      <c r="AC25" s="168">
        <f ca="1">MIN(IF($B26,AC24+IF(ISNUMBER(AB25),AB25,0),AC26/$N24),1)</f>
        <v>0</v>
      </c>
    </row>
    <row r="26" spans="1:29" customFormat="1" ht="13.8" x14ac:dyDescent="0.25">
      <c r="A26" s="184">
        <f ca="1">OFFSET(A26,-CFF.NumLinha,0)+1</f>
        <v>3</v>
      </c>
      <c r="B26" s="184" t="b">
        <f ca="1">$C26&gt;=OFFSET($C26,CFF.NumLinha,0)</f>
        <v>1</v>
      </c>
      <c r="C26" s="184">
        <f ca="1">INDEX(PO!A$12:A$49,MATCH($A26,PO!$V$12:$V$49,0))</f>
        <v>1</v>
      </c>
      <c r="D26" s="184">
        <f ca="1">IF(ISERROR(J26),I26,SMALL(I26:J26,1))-1</f>
        <v>2</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ca="1">MATCH(0,OFFSET($D26,1,$C26,ROW($A$33)-ROW($A26)),0)</f>
        <v>7</v>
      </c>
      <c r="J26" s="184">
        <f ca="1">MATCH(OFFSET($D26,0,$C26)+1,OFFSET($D26,1,$C26,ROW($A$33)-ROW($A26)),0)</f>
        <v>3</v>
      </c>
      <c r="K26" s="185">
        <f ca="1">ROUND(INDEX(PO!T$12:T$49,MATCH($A26,PO!$V$12:$V$49,0)),2)+10^-12</f>
        <v>9.9999999999999998E-13</v>
      </c>
      <c r="L26" s="385"/>
      <c r="M26" s="378"/>
      <c r="N26" s="376"/>
      <c r="O26" s="204" t="s">
        <v>20</v>
      </c>
      <c r="P26" s="199">
        <f t="shared" ref="P26:W26" ca="1" si="12">IF($B26,ROUND(P25*$N24,2),ROUND(SUMIF(OFFSET($B26,1,0,$D26),TRUE,OFFSET(P26,1,0,$D26))/SUMIF(OFFSET($B26,1,0,$D26),TRUE,OFFSET($K26,1,0,$D26))*$N24,2))</f>
        <v>0</v>
      </c>
      <c r="Q26" s="169">
        <f t="shared" ca="1" si="12"/>
        <v>0</v>
      </c>
      <c r="R26" s="169">
        <f t="shared" ca="1" si="12"/>
        <v>0</v>
      </c>
      <c r="S26" s="169">
        <f t="shared" ca="1" si="12"/>
        <v>0</v>
      </c>
      <c r="T26" s="169">
        <f t="shared" ca="1" si="12"/>
        <v>0</v>
      </c>
      <c r="U26" s="169">
        <f t="shared" ca="1" si="12"/>
        <v>0</v>
      </c>
      <c r="V26" s="169">
        <f t="shared" ca="1" si="12"/>
        <v>0</v>
      </c>
      <c r="W26" s="207">
        <f t="shared" ca="1" si="12"/>
        <v>0</v>
      </c>
      <c r="X26" s="196"/>
      <c r="AC26" s="169">
        <f ca="1">IF($B26,ROUND(AC25*$N24,2),ROUND(SUMIF(OFFSET($B26,1,0,$D26),TRUE,OFFSET(AC26,1,0,$D26))/SUMIF(OFFSET($B26,1,0,$D26),TRUE,OFFSET($K26,1,0,$D26))*$N24,2))</f>
        <v>0</v>
      </c>
    </row>
    <row r="27" spans="1:29" customFormat="1" ht="14.25" customHeight="1" x14ac:dyDescent="0.25">
      <c r="A27" s="82"/>
      <c r="B27" s="82"/>
      <c r="C27" s="82"/>
      <c r="D27" s="82"/>
      <c r="E27" s="82"/>
      <c r="F27" s="82"/>
      <c r="G27" s="82"/>
      <c r="H27" s="82"/>
      <c r="I27" s="82"/>
      <c r="J27" s="82"/>
      <c r="K27" s="82"/>
      <c r="L27" s="384" t="str">
        <f ca="1">INDEX(PO!K$12:K$49,MATCH($A29,PO!$V$12:$V$49,0))</f>
        <v>4.</v>
      </c>
      <c r="M27" s="377" t="str">
        <f ca="1">INDEX(PO!N$12:N$49,MATCH($A29,PO!$V$12:$V$49,0))</f>
        <v>PAVIMENTAÇÃO SOBRE BASE DE BRITA GRADUADA</v>
      </c>
      <c r="N27" s="375">
        <f ca="1">IF(ROUND(K29,2)=0,K29,ROUND(K29,2))</f>
        <v>9.9999999999999998E-13</v>
      </c>
      <c r="O27" s="220" t="s">
        <v>143</v>
      </c>
      <c r="P27" s="225">
        <v>0.25</v>
      </c>
      <c r="Q27" s="226">
        <v>0.25</v>
      </c>
      <c r="R27" s="226">
        <v>0.25</v>
      </c>
      <c r="S27" s="226">
        <v>0.25</v>
      </c>
      <c r="T27" s="226"/>
      <c r="U27" s="226"/>
      <c r="V27" s="226"/>
      <c r="W27" s="227"/>
      <c r="X27" s="196"/>
      <c r="AC27" s="221">
        <f ca="1">IF($B29,0,AC28-IF(ISNUMBER(AB28),AB28,0))</f>
        <v>0</v>
      </c>
    </row>
    <row r="28" spans="1:29" customFormat="1" ht="13.8" x14ac:dyDescent="0.25">
      <c r="A28" s="184"/>
      <c r="B28" s="184"/>
      <c r="C28" s="184"/>
      <c r="D28" s="184"/>
      <c r="E28" s="184"/>
      <c r="F28" s="184"/>
      <c r="G28" s="184"/>
      <c r="H28" s="184"/>
      <c r="I28" s="184"/>
      <c r="J28" s="184"/>
      <c r="K28" s="184"/>
      <c r="L28" s="385"/>
      <c r="M28" s="378"/>
      <c r="N28" s="376"/>
      <c r="O28" s="170" t="s">
        <v>145</v>
      </c>
      <c r="P28" s="198">
        <f t="shared" ref="P28:W28" ca="1" si="13">MIN(IF($B29,P27+IF(ISNUMBER(O28),O28,0),P29/$N27),1)</f>
        <v>0.25</v>
      </c>
      <c r="Q28" s="168">
        <f t="shared" ca="1" si="13"/>
        <v>0.5</v>
      </c>
      <c r="R28" s="168">
        <f t="shared" ca="1" si="13"/>
        <v>0.75</v>
      </c>
      <c r="S28" s="168">
        <f t="shared" ca="1" si="13"/>
        <v>1</v>
      </c>
      <c r="T28" s="168">
        <f t="shared" ca="1" si="13"/>
        <v>1</v>
      </c>
      <c r="U28" s="168">
        <f t="shared" ca="1" si="13"/>
        <v>1</v>
      </c>
      <c r="V28" s="168">
        <f t="shared" ca="1" si="13"/>
        <v>1</v>
      </c>
      <c r="W28" s="168">
        <f t="shared" ca="1" si="13"/>
        <v>1</v>
      </c>
      <c r="X28" s="196"/>
      <c r="AC28" s="168">
        <f ca="1">MIN(IF($B29,AC27+IF(ISNUMBER(AB28),AB28,0),AC29/$N27),1)</f>
        <v>0</v>
      </c>
    </row>
    <row r="29" spans="1:29" customFormat="1" ht="13.8" x14ac:dyDescent="0.25">
      <c r="A29" s="184">
        <f ca="1">OFFSET(A29,-CFF.NumLinha,0)+1</f>
        <v>4</v>
      </c>
      <c r="B29" s="184" t="b">
        <f ca="1">$C29&gt;=OFFSET($C29,CFF.NumLinha,0)</f>
        <v>1</v>
      </c>
      <c r="C29" s="184">
        <f ca="1">INDEX(PO!A$12:A$49,MATCH($A29,PO!$V$12:$V$49,0))</f>
        <v>1</v>
      </c>
      <c r="D29" s="184">
        <f ca="1">IF(ISERROR(J29),I29,SMALL(I29:J29,1))-1</f>
        <v>2</v>
      </c>
      <c r="E29" s="184">
        <f ca="1">IF($C29=1,OFFSET(E29,-CFF.NumLinha,0)+1,OFFSET(E29,-CFF.NumLinha,0))</f>
        <v>4</v>
      </c>
      <c r="F29" s="184">
        <f ca="1">IF($C29=1,0,IF($C29=2,OFFSET(F29,-CFF.NumLinha,0)+1,OFFSET(F29,-CFF.NumLinha,0)))</f>
        <v>0</v>
      </c>
      <c r="G29" s="184">
        <f ca="1">IF(AND($C29&lt;=2,$C29&lt;&gt;0),0,IF($C29=3,OFFSET(G29,-CFF.NumLinha,0)+1,OFFSET(G29,-CFF.NumLinha,0)))</f>
        <v>0</v>
      </c>
      <c r="H29" s="184">
        <f ca="1">IF(AND($C29&lt;=3,$C29&lt;&gt;0),0,IF($C29=4,OFFSET(H29,-CFF.NumLinha,0)+1,OFFSET(H29,-CFF.NumLinha,0)))</f>
        <v>0</v>
      </c>
      <c r="I29" s="184">
        <f ca="1">MATCH(0,OFFSET($D29,1,$C29,ROW($A$33)-ROW($A29)),0)</f>
        <v>4</v>
      </c>
      <c r="J29" s="184">
        <f ca="1">MATCH(OFFSET($D29,0,$C29)+1,OFFSET($D29,1,$C29,ROW($A$33)-ROW($A29)),0)</f>
        <v>3</v>
      </c>
      <c r="K29" s="185">
        <f ca="1">ROUND(INDEX(PO!T$12:T$49,MATCH($A29,PO!$V$12:$V$49,0)),2)+10^-12</f>
        <v>9.9999999999999998E-13</v>
      </c>
      <c r="L29" s="385"/>
      <c r="M29" s="378"/>
      <c r="N29" s="376"/>
      <c r="O29" s="204" t="s">
        <v>20</v>
      </c>
      <c r="P29" s="199">
        <f t="shared" ref="P29:W29" ca="1" si="14">IF($B29,ROUND(P28*$N27,2),ROUND(SUMIF(OFFSET($B29,1,0,$D29),TRUE,OFFSET(P29,1,0,$D29))/SUMIF(OFFSET($B29,1,0,$D29),TRUE,OFFSET($K29,1,0,$D29))*$N27,2))</f>
        <v>0</v>
      </c>
      <c r="Q29" s="169">
        <f t="shared" ca="1" si="14"/>
        <v>0</v>
      </c>
      <c r="R29" s="169">
        <f t="shared" ca="1" si="14"/>
        <v>0</v>
      </c>
      <c r="S29" s="169">
        <f t="shared" ca="1" si="14"/>
        <v>0</v>
      </c>
      <c r="T29" s="169">
        <f t="shared" ca="1" si="14"/>
        <v>0</v>
      </c>
      <c r="U29" s="169">
        <f t="shared" ca="1" si="14"/>
        <v>0</v>
      </c>
      <c r="V29" s="169">
        <f t="shared" ca="1" si="14"/>
        <v>0</v>
      </c>
      <c r="W29" s="207">
        <f t="shared" ca="1" si="14"/>
        <v>0</v>
      </c>
      <c r="X29" s="196"/>
      <c r="AC29" s="169">
        <f ca="1">IF($B29,ROUND(AC28*$N27,2),ROUND(SUMIF(OFFSET($B29,1,0,$D29),TRUE,OFFSET(AC29,1,0,$D29))/SUMIF(OFFSET($B29,1,0,$D29),TRUE,OFFSET($K29,1,0,$D29))*$N27,2))</f>
        <v>0</v>
      </c>
    </row>
    <row r="30" spans="1:29" customFormat="1" ht="14.25" customHeight="1" x14ac:dyDescent="0.25">
      <c r="A30" s="82"/>
      <c r="B30" s="82"/>
      <c r="C30" s="82"/>
      <c r="D30" s="82"/>
      <c r="E30" s="82"/>
      <c r="F30" s="82"/>
      <c r="G30" s="82"/>
      <c r="H30" s="82"/>
      <c r="I30" s="82"/>
      <c r="J30" s="82"/>
      <c r="K30" s="82"/>
      <c r="L30" s="384" t="str">
        <f ca="1">INDEX(PO!K$12:K$49,MATCH($A32,PO!$V$12:$V$49,0))</f>
        <v>5.</v>
      </c>
      <c r="M30" s="377" t="str">
        <f ca="1">INDEX(PO!N$12:N$49,MATCH($A32,PO!$V$12:$V$49,0))</f>
        <v>SINALIZAÇÃO E SEGURANÇA VIÁRIA</v>
      </c>
      <c r="N30" s="375">
        <f t="shared" ref="N30" ca="1" si="15">IF(ROUND(K32,2)=0,K32,ROUND(K32,2))</f>
        <v>9.9999999999999998E-13</v>
      </c>
      <c r="O30" s="220" t="s">
        <v>143</v>
      </c>
      <c r="P30" s="225">
        <v>0</v>
      </c>
      <c r="Q30" s="226">
        <v>0.3</v>
      </c>
      <c r="R30" s="226">
        <v>0.3</v>
      </c>
      <c r="S30" s="226">
        <v>0.4</v>
      </c>
      <c r="T30" s="226">
        <v>0.4</v>
      </c>
      <c r="U30" s="226"/>
      <c r="V30" s="226"/>
      <c r="W30" s="227"/>
      <c r="X30" s="196"/>
      <c r="AC30" s="221">
        <f t="shared" ref="AC30" ca="1" si="16">IF($B32,0,AC31-IF(ISNUMBER(AB31),AB31,0))</f>
        <v>0</v>
      </c>
    </row>
    <row r="31" spans="1:29" customFormat="1" ht="13.8" x14ac:dyDescent="0.25">
      <c r="A31" s="184"/>
      <c r="B31" s="184"/>
      <c r="C31" s="184"/>
      <c r="D31" s="184"/>
      <c r="E31" s="184"/>
      <c r="F31" s="184"/>
      <c r="G31" s="184"/>
      <c r="H31" s="184"/>
      <c r="I31" s="184"/>
      <c r="J31" s="184"/>
      <c r="K31" s="184"/>
      <c r="L31" s="385"/>
      <c r="M31" s="378"/>
      <c r="N31" s="376"/>
      <c r="O31" s="170" t="s">
        <v>145</v>
      </c>
      <c r="P31" s="198">
        <f t="shared" ref="P31" ca="1" si="17">MIN(IF($B32,P30+IF(ISNUMBER(O31),O31,0),P32/$N30),1)</f>
        <v>0</v>
      </c>
      <c r="Q31" s="168">
        <f t="shared" ref="Q31" ca="1" si="18">MIN(IF($B32,Q30+IF(ISNUMBER(P31),P31,0),Q32/$N30),1)</f>
        <v>0.3</v>
      </c>
      <c r="R31" s="168">
        <f t="shared" ref="R31" ca="1" si="19">MIN(IF($B32,R30+IF(ISNUMBER(Q31),Q31,0),R32/$N30),1)</f>
        <v>0.6</v>
      </c>
      <c r="S31" s="168">
        <f t="shared" ref="S31" ca="1" si="20">MIN(IF($B32,S30+IF(ISNUMBER(R31),R31,0),S32/$N30),1)</f>
        <v>1</v>
      </c>
      <c r="T31" s="168">
        <f t="shared" ref="T31" ca="1" si="21">MIN(IF($B32,T30+IF(ISNUMBER(S31),S31,0),T32/$N30),1)</f>
        <v>1</v>
      </c>
      <c r="U31" s="168">
        <f t="shared" ref="U31" ca="1" si="22">MIN(IF($B32,U30+IF(ISNUMBER(T31),T31,0),U32/$N30),1)</f>
        <v>1</v>
      </c>
      <c r="V31" s="168">
        <f t="shared" ref="V31" ca="1" si="23">MIN(IF($B32,V30+IF(ISNUMBER(U31),U31,0),V32/$N30),1)</f>
        <v>1</v>
      </c>
      <c r="W31" s="168">
        <f t="shared" ref="W31" ca="1" si="24">MIN(IF($B32,W30+IF(ISNUMBER(V31),V31,0),W32/$N30),1)</f>
        <v>1</v>
      </c>
      <c r="X31" s="196"/>
      <c r="AC31" s="168">
        <f t="shared" ref="AC31" ca="1" si="25">MIN(IF($B32,AC30+IF(ISNUMBER(AB31),AB31,0),AC32/$N30),1)</f>
        <v>0</v>
      </c>
    </row>
    <row r="32" spans="1:29" customFormat="1" ht="13.8" x14ac:dyDescent="0.25">
      <c r="A32" s="184">
        <f ca="1">OFFSET(A32,-CFF.NumLinha,0)+1</f>
        <v>5</v>
      </c>
      <c r="B32" s="184" t="b">
        <f ca="1">$C32&gt;=OFFSET($C32,CFF.NumLinha,0)</f>
        <v>1</v>
      </c>
      <c r="C32" s="184">
        <f ca="1">INDEX(PO!A$12:A$49,MATCH($A32,PO!$V$12:$V$49,0))</f>
        <v>1</v>
      </c>
      <c r="D32" s="184">
        <f t="shared" ref="D32" ca="1" si="26">IF(ISERROR(J32),I32,SMALL(I32:J32,1))-1</f>
        <v>0</v>
      </c>
      <c r="E32" s="184">
        <f ca="1">IF($C32=1,OFFSET(E32,-CFF.NumLinha,0)+1,OFFSET(E32,-CFF.NumLinha,0))</f>
        <v>5</v>
      </c>
      <c r="F32" s="184">
        <f ca="1">IF($C32=1,0,IF($C32=2,OFFSET(F32,-CFF.NumLinha,0)+1,OFFSET(F32,-CFF.NumLinha,0)))</f>
        <v>0</v>
      </c>
      <c r="G32" s="184">
        <f ca="1">IF(AND($C32&lt;=2,$C32&lt;&gt;0),0,IF($C32=3,OFFSET(G32,-CFF.NumLinha,0)+1,OFFSET(G32,-CFF.NumLinha,0)))</f>
        <v>0</v>
      </c>
      <c r="H32" s="184">
        <f ca="1">IF(AND($C32&lt;=3,$C32&lt;&gt;0),0,IF($C32=4,OFFSET(H32,-CFF.NumLinha,0)+1,OFFSET(H32,-CFF.NumLinha,0)))</f>
        <v>0</v>
      </c>
      <c r="I32" s="184">
        <f ca="1">MATCH(0,OFFSET($D32,1,$C32,ROW($A$33)-ROW($A32)),0)</f>
        <v>1</v>
      </c>
      <c r="J32" s="184" t="e">
        <f ca="1">MATCH(OFFSET($D32,0,$C32)+1,OFFSET($D32,1,$C32,ROW($A$33)-ROW($A32)),0)</f>
        <v>#N/A</v>
      </c>
      <c r="K32" s="185">
        <f ca="1">ROUND(INDEX(PO!T$12:T$49,MATCH($A32,PO!$V$12:$V$49,0)),2)+10^-12</f>
        <v>9.9999999999999998E-13</v>
      </c>
      <c r="L32" s="385"/>
      <c r="M32" s="378"/>
      <c r="N32" s="376"/>
      <c r="O32" s="204" t="s">
        <v>20</v>
      </c>
      <c r="P32" s="199">
        <f t="shared" ref="P32:W32" ca="1" si="27">IF($B32,ROUND(P31*$N30,2),ROUND(SUMIF(OFFSET($B32,1,0,$D32),TRUE,OFFSET(P32,1,0,$D32))/SUMIF(OFFSET($B32,1,0,$D32),TRUE,OFFSET($K32,1,0,$D32))*$N30,2))</f>
        <v>0</v>
      </c>
      <c r="Q32" s="169">
        <f t="shared" ca="1" si="27"/>
        <v>0</v>
      </c>
      <c r="R32" s="169">
        <f t="shared" ca="1" si="27"/>
        <v>0</v>
      </c>
      <c r="S32" s="169">
        <f t="shared" ca="1" si="27"/>
        <v>0</v>
      </c>
      <c r="T32" s="169">
        <f t="shared" ca="1" si="27"/>
        <v>0</v>
      </c>
      <c r="U32" s="169">
        <f t="shared" ca="1" si="27"/>
        <v>0</v>
      </c>
      <c r="V32" s="169">
        <f t="shared" ca="1" si="27"/>
        <v>0</v>
      </c>
      <c r="W32" s="207">
        <f t="shared" ca="1" si="27"/>
        <v>0</v>
      </c>
      <c r="X32" s="196"/>
      <c r="AC32" s="169">
        <f t="shared" ref="AC32" ca="1" si="28">IF($B32,ROUND(AC31*$N30,2),ROUND(SUMIF(OFFSET($B32,1,0,$D32),TRUE,OFFSET(AC32,1,0,$D32))/SUMIF(OFFSET($B32,1,0,$D32),TRUE,OFFSET($K32,1,0,$D32))*$N30,2))</f>
        <v>0</v>
      </c>
    </row>
    <row r="33" spans="1:29" s="45" customFormat="1" ht="12.75" customHeight="1" x14ac:dyDescent="0.25">
      <c r="A33" s="1"/>
      <c r="B33" s="1"/>
      <c r="C33" s="184">
        <v>-1</v>
      </c>
      <c r="D33" s="184"/>
      <c r="E33" s="184">
        <v>0</v>
      </c>
      <c r="F33" s="184">
        <v>0</v>
      </c>
      <c r="G33" s="184">
        <v>0</v>
      </c>
      <c r="H33" s="184">
        <v>0</v>
      </c>
      <c r="I33" s="1"/>
      <c r="J33" s="1"/>
      <c r="K33" s="1"/>
      <c r="L33" s="154"/>
      <c r="M33" s="154"/>
      <c r="N33" s="155"/>
      <c r="O33" s="154"/>
      <c r="P33" s="154"/>
      <c r="Q33" s="155"/>
      <c r="R33" s="154"/>
      <c r="S33" s="154"/>
      <c r="T33" s="154"/>
      <c r="U33" s="154"/>
      <c r="V33" s="154"/>
      <c r="W33" s="154"/>
      <c r="X33" s="186"/>
      <c r="AC33" s="154"/>
    </row>
    <row r="34" spans="1:29" ht="12" customHeight="1" x14ac:dyDescent="0.25">
      <c r="A34" s="1"/>
      <c r="B34" s="1"/>
      <c r="C34" s="1"/>
      <c r="D34" s="1"/>
      <c r="E34" s="1"/>
      <c r="F34" s="1"/>
      <c r="G34" s="1"/>
      <c r="H34" s="1"/>
      <c r="I34" s="1"/>
      <c r="J34" s="1"/>
      <c r="K34" s="1"/>
      <c r="L34" s="187"/>
      <c r="M34" s="187"/>
      <c r="N34" s="187"/>
      <c r="O34" s="187"/>
      <c r="P34" s="187"/>
      <c r="Q34" s="187"/>
      <c r="R34" s="187"/>
      <c r="S34" s="187"/>
      <c r="T34" s="187"/>
      <c r="U34" s="187"/>
      <c r="V34" s="187"/>
      <c r="W34" s="187"/>
      <c r="X34" s="188"/>
      <c r="AC34" s="187"/>
    </row>
    <row r="35" spans="1:29" x14ac:dyDescent="0.25">
      <c r="A35" s="1"/>
      <c r="B35" s="1"/>
      <c r="C35" s="1"/>
      <c r="D35" s="1"/>
      <c r="E35" s="1"/>
      <c r="F35" s="1"/>
      <c r="G35" s="1"/>
      <c r="H35" s="1"/>
      <c r="I35" s="1"/>
      <c r="J35" s="1"/>
      <c r="K35" s="1"/>
      <c r="L35" s="382">
        <f>DADOS!I32</f>
        <v>0</v>
      </c>
      <c r="M35" s="382"/>
      <c r="N35" s="382"/>
      <c r="O35" s="187"/>
      <c r="P35" s="189"/>
      <c r="Q35" s="379"/>
      <c r="R35" s="379"/>
      <c r="S35" s="379"/>
      <c r="T35" s="187"/>
      <c r="U35" s="187"/>
      <c r="V35" s="187"/>
      <c r="W35" s="187"/>
      <c r="X35" s="188"/>
      <c r="AC35" s="187"/>
    </row>
    <row r="36" spans="1:29" x14ac:dyDescent="0.25">
      <c r="A36" s="1"/>
      <c r="B36" s="1"/>
      <c r="C36" s="1"/>
      <c r="D36" s="1"/>
      <c r="E36" s="1"/>
      <c r="F36" s="1"/>
      <c r="G36" s="1"/>
      <c r="H36" s="1"/>
      <c r="I36" s="1"/>
      <c r="J36" s="1"/>
      <c r="K36" s="1"/>
      <c r="L36" s="190" t="s">
        <v>120</v>
      </c>
      <c r="M36" s="381"/>
      <c r="N36" s="381"/>
      <c r="O36" s="187"/>
      <c r="P36" s="189"/>
      <c r="Q36" s="379"/>
      <c r="R36" s="379"/>
      <c r="S36" s="379"/>
      <c r="T36" s="187"/>
      <c r="U36" s="187"/>
      <c r="V36" s="187"/>
      <c r="W36" s="187"/>
      <c r="X36" s="188"/>
      <c r="AC36" s="187"/>
    </row>
    <row r="37" spans="1:29" x14ac:dyDescent="0.25">
      <c r="A37" s="1"/>
      <c r="B37" s="1"/>
      <c r="C37" s="1"/>
      <c r="D37" s="1"/>
      <c r="E37" s="1"/>
      <c r="F37" s="1"/>
      <c r="G37" s="1"/>
      <c r="H37" s="1"/>
      <c r="I37" s="1"/>
      <c r="J37" s="1"/>
      <c r="K37" s="1"/>
      <c r="L37" s="189"/>
      <c r="M37" s="380"/>
      <c r="N37" s="381"/>
      <c r="O37" s="187"/>
      <c r="P37" s="189"/>
      <c r="Q37" s="379"/>
      <c r="R37" s="379"/>
      <c r="S37" s="379"/>
      <c r="T37" s="187"/>
      <c r="U37" s="187"/>
      <c r="V37" s="187"/>
      <c r="W37" s="187"/>
      <c r="X37" s="188"/>
      <c r="AC37" s="187"/>
    </row>
    <row r="38" spans="1:29" x14ac:dyDescent="0.25">
      <c r="A38" s="1"/>
      <c r="B38" s="1"/>
      <c r="C38" s="1"/>
      <c r="D38" s="1"/>
      <c r="E38" s="1"/>
      <c r="F38" s="1"/>
      <c r="G38" s="1"/>
      <c r="H38" s="1"/>
      <c r="I38" s="1"/>
      <c r="J38" s="1"/>
      <c r="K38" s="1"/>
      <c r="L38" s="383">
        <f ca="1">PO!K63</f>
        <v>45799</v>
      </c>
      <c r="M38" s="383"/>
      <c r="N38" s="383"/>
      <c r="O38" s="187"/>
      <c r="P38" s="187"/>
      <c r="Q38" s="187"/>
      <c r="R38" s="187"/>
      <c r="S38" s="187"/>
      <c r="T38" s="187"/>
      <c r="U38" s="187"/>
      <c r="V38" s="187"/>
      <c r="W38" s="187"/>
      <c r="X38" s="191"/>
      <c r="AC38" s="187"/>
    </row>
    <row r="39" spans="1:29" x14ac:dyDescent="0.25">
      <c r="A39" s="1"/>
      <c r="B39" s="1"/>
      <c r="C39" s="1"/>
      <c r="D39" s="1"/>
      <c r="E39" s="1"/>
      <c r="F39" s="1"/>
      <c r="G39" s="1"/>
      <c r="H39" s="1"/>
      <c r="I39" s="1"/>
      <c r="J39" s="1"/>
      <c r="K39" s="1"/>
      <c r="L39" s="192" t="s">
        <v>121</v>
      </c>
      <c r="M39" s="193"/>
      <c r="N39" s="193"/>
      <c r="O39" s="187"/>
      <c r="P39" s="187"/>
      <c r="Q39" s="187"/>
      <c r="R39" s="187"/>
      <c r="S39" s="187"/>
      <c r="T39" s="187"/>
      <c r="U39" s="187"/>
      <c r="V39" s="187"/>
      <c r="W39" s="187"/>
      <c r="X39" s="191"/>
      <c r="AC39" s="187"/>
    </row>
    <row r="40" spans="1:29" x14ac:dyDescent="0.25">
      <c r="A40" s="1"/>
      <c r="B40" s="1"/>
      <c r="C40" s="1"/>
      <c r="D40" s="1"/>
      <c r="E40" s="1"/>
      <c r="F40" s="1"/>
      <c r="G40" s="1"/>
      <c r="H40" s="1"/>
      <c r="I40" s="1"/>
      <c r="J40" s="1"/>
      <c r="K40" s="1"/>
      <c r="L40" s="187"/>
      <c r="M40" s="187"/>
      <c r="N40" s="187"/>
      <c r="O40" s="187"/>
      <c r="P40" s="187"/>
      <c r="Q40" s="187"/>
      <c r="R40" s="187"/>
      <c r="S40" s="187"/>
      <c r="T40" s="187"/>
      <c r="U40" s="187"/>
      <c r="V40" s="187"/>
      <c r="W40" s="187"/>
      <c r="X40" s="191"/>
      <c r="AC40" s="187"/>
    </row>
    <row r="41" spans="1:29" x14ac:dyDescent="0.25">
      <c r="A41" s="1"/>
      <c r="B41" s="1"/>
      <c r="C41" s="1"/>
      <c r="D41" s="1"/>
      <c r="E41" s="1"/>
      <c r="F41" s="1"/>
      <c r="G41" s="1"/>
      <c r="H41" s="1"/>
      <c r="I41" s="1"/>
      <c r="J41" s="1"/>
      <c r="K41" s="1"/>
      <c r="L41" s="187"/>
      <c r="M41" s="187"/>
      <c r="N41" s="194"/>
      <c r="O41" s="187"/>
      <c r="P41" s="187"/>
      <c r="Q41" s="187"/>
      <c r="R41" s="187"/>
      <c r="S41" s="187"/>
      <c r="T41" s="187"/>
      <c r="U41" s="187"/>
      <c r="V41" s="187"/>
      <c r="W41" s="187"/>
      <c r="X41" s="188"/>
      <c r="AC41" s="187"/>
    </row>
    <row r="42" spans="1:29" x14ac:dyDescent="0.25">
      <c r="A42" s="1"/>
      <c r="B42" s="1"/>
      <c r="C42" s="1"/>
      <c r="D42" s="1"/>
      <c r="E42" s="1"/>
      <c r="F42" s="1"/>
      <c r="G42" s="1"/>
      <c r="H42" s="1"/>
      <c r="I42" s="1"/>
      <c r="J42" s="1"/>
      <c r="K42" s="1"/>
      <c r="L42" s="187"/>
      <c r="M42" s="187"/>
      <c r="N42" s="194"/>
      <c r="O42" s="187"/>
      <c r="P42" s="187"/>
      <c r="Q42" s="187"/>
      <c r="R42" s="187"/>
      <c r="S42" s="187"/>
      <c r="T42" s="187"/>
      <c r="U42" s="187"/>
      <c r="V42" s="187"/>
      <c r="W42" s="187"/>
      <c r="X42" s="188"/>
      <c r="AC42" s="187"/>
    </row>
    <row r="43" spans="1:29" x14ac:dyDescent="0.25">
      <c r="A43" s="1"/>
      <c r="B43" s="1"/>
      <c r="C43" s="1"/>
      <c r="D43" s="1"/>
      <c r="E43" s="1"/>
      <c r="F43" s="1"/>
      <c r="G43" s="1"/>
      <c r="H43" s="1"/>
      <c r="I43" s="1"/>
      <c r="J43" s="1"/>
      <c r="K43" s="1"/>
      <c r="L43" s="82"/>
      <c r="M43" s="82"/>
      <c r="N43" s="7"/>
      <c r="O43" s="82"/>
      <c r="P43" s="82"/>
      <c r="Q43" s="82"/>
      <c r="R43" s="82"/>
      <c r="S43" s="82"/>
      <c r="T43" s="82"/>
      <c r="U43" s="82"/>
      <c r="V43" s="82"/>
      <c r="W43" s="187"/>
      <c r="X43" s="188"/>
      <c r="AC43" s="82"/>
    </row>
  </sheetData>
  <sheetProtection password="C95B" sheet="1" objects="1" scenarios="1"/>
  <mergeCells count="28">
    <mergeCell ref="L38:N38"/>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30:L32"/>
    <mergeCell ref="L8:M8"/>
    <mergeCell ref="N11:N13"/>
    <mergeCell ref="M18:M20"/>
    <mergeCell ref="N18:N20"/>
    <mergeCell ref="Q37:S37"/>
    <mergeCell ref="M37:N37"/>
    <mergeCell ref="Q36:S36"/>
    <mergeCell ref="Q35:S35"/>
    <mergeCell ref="L35:N35"/>
    <mergeCell ref="M36:N36"/>
    <mergeCell ref="M30:M32"/>
    <mergeCell ref="N30:N32"/>
  </mergeCells>
  <phoneticPr fontId="20" type="noConversion"/>
  <conditionalFormatting sqref="L11:N11 L12:M13 L18:N18">
    <cfRule type="expression" dxfId="83" priority="1137" stopIfTrue="1">
      <formula>$C13=1</formula>
    </cfRule>
  </conditionalFormatting>
  <conditionalFormatting sqref="O11 O18">
    <cfRule type="expression" dxfId="82" priority="1209" stopIfTrue="1">
      <formula>$B13=FALSE</formula>
    </cfRule>
    <cfRule type="expression" dxfId="81" priority="1210" stopIfTrue="1">
      <formula>$C13=1</formula>
    </cfRule>
  </conditionalFormatting>
  <conditionalFormatting sqref="P12:W12">
    <cfRule type="expression" dxfId="80" priority="1199" stopIfTrue="1">
      <formula>AND(ISNUMBER(O13),O13&gt;=$N11)</formula>
    </cfRule>
    <cfRule type="cellIs" dxfId="79" priority="1200" stopIfTrue="1" operator="notBetween">
      <formula>0</formula>
      <formula>1</formula>
    </cfRule>
  </conditionalFormatting>
  <conditionalFormatting sqref="P13:W13">
    <cfRule type="expression" dxfId="78" priority="1201" stopIfTrue="1">
      <formula>AND(ISNUMBER(O13),O13&gt;=$N11)</formula>
    </cfRule>
    <cfRule type="cellIs" dxfId="77" priority="1202" stopIfTrue="1" operator="notBetween">
      <formula>0</formula>
      <formula>$N11</formula>
    </cfRule>
  </conditionalFormatting>
  <conditionalFormatting sqref="P14:W14">
    <cfRule type="expression" dxfId="76" priority="1203" stopIfTrue="1">
      <formula>AND(ISNUMBER(O17),O17&gt;=$N14)</formula>
    </cfRule>
  </conditionalFormatting>
  <conditionalFormatting sqref="P15:W15">
    <cfRule type="expression" dxfId="75" priority="1204" stopIfTrue="1">
      <formula>AND(ISNUMBER(O17),O17&gt;=$N14)</formula>
    </cfRule>
  </conditionalFormatting>
  <conditionalFormatting sqref="P16:W16">
    <cfRule type="expression" dxfId="74" priority="1205" stopIfTrue="1">
      <formula>AND(ISNUMBER(O17),O17&gt;=$N14)</formula>
    </cfRule>
    <cfRule type="cellIs" dxfId="73" priority="1206" stopIfTrue="1" operator="notBetween">
      <formula>0</formula>
      <formula>1</formula>
    </cfRule>
  </conditionalFormatting>
  <conditionalFormatting sqref="P17:W17">
    <cfRule type="expression" dxfId="72" priority="1207" stopIfTrue="1">
      <formula>AND(ISNUMBER(O17),O17&gt;=$N14)</formula>
    </cfRule>
    <cfRule type="cellIs" dxfId="71" priority="1208" stopIfTrue="1" operator="notBetween">
      <formula>0</formula>
      <formula>$N14</formula>
    </cfRule>
  </conditionalFormatting>
  <conditionalFormatting sqref="L8">
    <cfRule type="cellIs" dxfId="70" priority="1194" stopIfTrue="1" operator="notEqual">
      <formula>""</formula>
    </cfRule>
  </conditionalFormatting>
  <conditionalFormatting sqref="N9">
    <cfRule type="expression" dxfId="69" priority="1193" stopIfTrue="1">
      <formula>TipoOrçamento&lt;&gt;"REPROGRAMADOAC"</formula>
    </cfRule>
  </conditionalFormatting>
  <conditionalFormatting sqref="L19:M20">
    <cfRule type="expression" dxfId="68" priority="2028" stopIfTrue="1">
      <formula>#REF!=1</formula>
    </cfRule>
  </conditionalFormatting>
  <conditionalFormatting sqref="P11:W11">
    <cfRule type="expression" dxfId="67" priority="348" stopIfTrue="1">
      <formula>AND(ISNUMBER(O13),O13&gt;=$N11)</formula>
    </cfRule>
    <cfRule type="expression" dxfId="66" priority="349" stopIfTrue="1">
      <formula>$B13=FALSE</formula>
    </cfRule>
    <cfRule type="expression" dxfId="65" priority="350" stopIfTrue="1">
      <formula>$C13=1</formula>
    </cfRule>
  </conditionalFormatting>
  <conditionalFormatting sqref="P19:W19">
    <cfRule type="expression" dxfId="64" priority="299" stopIfTrue="1">
      <formula>AND(ISNUMBER(O20),O20&gt;=$N18)</formula>
    </cfRule>
    <cfRule type="cellIs" dxfId="63" priority="300" stopIfTrue="1" operator="notBetween">
      <formula>0</formula>
      <formula>1</formula>
    </cfRule>
  </conditionalFormatting>
  <conditionalFormatting sqref="P20:W20">
    <cfRule type="expression" dxfId="62" priority="301" stopIfTrue="1">
      <formula>AND(ISNUMBER(O20),O20&gt;=$N18)</formula>
    </cfRule>
    <cfRule type="cellIs" dxfId="61" priority="302" stopIfTrue="1" operator="notBetween">
      <formula>0</formula>
      <formula>$N18</formula>
    </cfRule>
  </conditionalFormatting>
  <conditionalFormatting sqref="O10:W10">
    <cfRule type="expression" dxfId="60" priority="271" stopIfTrue="1">
      <formula>1=1</formula>
    </cfRule>
  </conditionalFormatting>
  <conditionalFormatting sqref="P18:W18">
    <cfRule type="expression" dxfId="59" priority="226" stopIfTrue="1">
      <formula>AND(ISNUMBER(O20),O20&gt;=$N18)</formula>
    </cfRule>
    <cfRule type="expression" dxfId="58" priority="227" stopIfTrue="1">
      <formula>$B20=FALSE</formula>
    </cfRule>
    <cfRule type="expression" dxfId="57" priority="228" stopIfTrue="1">
      <formula>$C20=1</formula>
    </cfRule>
  </conditionalFormatting>
  <conditionalFormatting sqref="AC18">
    <cfRule type="expression" dxfId="56" priority="146" stopIfTrue="1">
      <formula>AND(ISNUMBER(AB20),AB20&gt;=$N18)</formula>
    </cfRule>
    <cfRule type="expression" dxfId="55" priority="147" stopIfTrue="1">
      <formula>$B20=FALSE</formula>
    </cfRule>
    <cfRule type="expression" dxfId="54" priority="148" stopIfTrue="1">
      <formula>$C20=1</formula>
    </cfRule>
  </conditionalFormatting>
  <conditionalFormatting sqref="AC12">
    <cfRule type="expression" dxfId="53" priority="161" stopIfTrue="1">
      <formula>AND(ISNUMBER(AB13),AB13&gt;=$N11)</formula>
    </cfRule>
    <cfRule type="cellIs" dxfId="52" priority="162" stopIfTrue="1" operator="notBetween">
      <formula>0</formula>
      <formula>1</formula>
    </cfRule>
  </conditionalFormatting>
  <conditionalFormatting sqref="AC13">
    <cfRule type="expression" dxfId="51" priority="163" stopIfTrue="1">
      <formula>AND(ISNUMBER(AB13),AB13&gt;=$N11)</formula>
    </cfRule>
    <cfRule type="cellIs" dxfId="50" priority="164" stopIfTrue="1" operator="notBetween">
      <formula>0</formula>
      <formula>$N11</formula>
    </cfRule>
  </conditionalFormatting>
  <conditionalFormatting sqref="AC14">
    <cfRule type="expression" dxfId="49" priority="165" stopIfTrue="1">
      <formula>AND(ISNUMBER(AB17),AB17&gt;=$N14)</formula>
    </cfRule>
  </conditionalFormatting>
  <conditionalFormatting sqref="AC15">
    <cfRule type="expression" dxfId="48" priority="166" stopIfTrue="1">
      <formula>AND(ISNUMBER(AB17),AB17&gt;=$N14)</formula>
    </cfRule>
  </conditionalFormatting>
  <conditionalFormatting sqref="AC16">
    <cfRule type="expression" dxfId="47" priority="167" stopIfTrue="1">
      <formula>AND(ISNUMBER(AB17),AB17&gt;=$N14)</formula>
    </cfRule>
    <cfRule type="cellIs" dxfId="46" priority="168" stopIfTrue="1" operator="notBetween">
      <formula>0</formula>
      <formula>1</formula>
    </cfRule>
  </conditionalFormatting>
  <conditionalFormatting sqref="AC17">
    <cfRule type="expression" dxfId="45" priority="169" stopIfTrue="1">
      <formula>AND(ISNUMBER(AB17),AB17&gt;=$N14)</formula>
    </cfRule>
    <cfRule type="cellIs" dxfId="44" priority="170" stopIfTrue="1" operator="notBetween">
      <formula>0</formula>
      <formula>$N14</formula>
    </cfRule>
  </conditionalFormatting>
  <conditionalFormatting sqref="AC11">
    <cfRule type="expression" dxfId="43" priority="158" stopIfTrue="1">
      <formula>AND(ISNUMBER(AB13),AB13&gt;=$N11)</formula>
    </cfRule>
    <cfRule type="expression" dxfId="42" priority="159" stopIfTrue="1">
      <formula>$B13=FALSE</formula>
    </cfRule>
    <cfRule type="expression" dxfId="41" priority="160" stopIfTrue="1">
      <formula>$C13=1</formula>
    </cfRule>
  </conditionalFormatting>
  <conditionalFormatting sqref="AC19">
    <cfRule type="expression" dxfId="40" priority="154" stopIfTrue="1">
      <formula>AND(ISNUMBER(AB20),AB20&gt;=$N18)</formula>
    </cfRule>
    <cfRule type="cellIs" dxfId="39" priority="155" stopIfTrue="1" operator="notBetween">
      <formula>0</formula>
      <formula>1</formula>
    </cfRule>
  </conditionalFormatting>
  <conditionalFormatting sqref="AC20">
    <cfRule type="expression" dxfId="38" priority="156" stopIfTrue="1">
      <formula>AND(ISNUMBER(AB20),AB20&gt;=$N18)</formula>
    </cfRule>
    <cfRule type="cellIs" dxfId="37" priority="157" stopIfTrue="1" operator="notBetween">
      <formula>0</formula>
      <formula>$N18</formula>
    </cfRule>
  </conditionalFormatting>
  <conditionalFormatting sqref="AC10">
    <cfRule type="expression" dxfId="36" priority="149" stopIfTrue="1">
      <formula>1=1</formula>
    </cfRule>
  </conditionalFormatting>
  <conditionalFormatting sqref="L21:N21 L24:N24 L27:N27 L22:M23 L25:M26">
    <cfRule type="expression" dxfId="35" priority="79" stopIfTrue="1">
      <formula>$C23=1</formula>
    </cfRule>
  </conditionalFormatting>
  <conditionalFormatting sqref="O21 O24 O27">
    <cfRule type="expression" dxfId="34" priority="84" stopIfTrue="1">
      <formula>$B23=FALSE</formula>
    </cfRule>
    <cfRule type="expression" dxfId="33" priority="85" stopIfTrue="1">
      <formula>$C23=1</formula>
    </cfRule>
  </conditionalFormatting>
  <conditionalFormatting sqref="P22:W22 P25:W25 P28:W28">
    <cfRule type="expression" dxfId="32" priority="80" stopIfTrue="1">
      <formula>AND(ISNUMBER(O23),O23&gt;=$N21)</formula>
    </cfRule>
    <cfRule type="cellIs" dxfId="31" priority="81" stopIfTrue="1" operator="notBetween">
      <formula>0</formula>
      <formula>1</formula>
    </cfRule>
  </conditionalFormatting>
  <conditionalFormatting sqref="P23:W23 P26:W26 P29:W29">
    <cfRule type="expression" dxfId="30" priority="82" stopIfTrue="1">
      <formula>AND(ISNUMBER(O23),O23&gt;=$N21)</formula>
    </cfRule>
    <cfRule type="cellIs" dxfId="29" priority="83" stopIfTrue="1" operator="notBetween">
      <formula>0</formula>
      <formula>$N21</formula>
    </cfRule>
  </conditionalFormatting>
  <conditionalFormatting sqref="P21:W21 P24:W24 P27:W27">
    <cfRule type="expression" dxfId="28" priority="76" stopIfTrue="1">
      <formula>AND(ISNUMBER(O23),O23&gt;=$N21)</formula>
    </cfRule>
    <cfRule type="expression" dxfId="27" priority="77" stopIfTrue="1">
      <formula>$B23=FALSE</formula>
    </cfRule>
    <cfRule type="expression" dxfId="26" priority="78" stopIfTrue="1">
      <formula>$C23=1</formula>
    </cfRule>
  </conditionalFormatting>
  <conditionalFormatting sqref="AC22 AC25 AC28">
    <cfRule type="expression" dxfId="25" priority="72" stopIfTrue="1">
      <formula>AND(ISNUMBER(AB23),AB23&gt;=$N21)</formula>
    </cfRule>
    <cfRule type="cellIs" dxfId="24" priority="73" stopIfTrue="1" operator="notBetween">
      <formula>0</formula>
      <formula>1</formula>
    </cfRule>
  </conditionalFormatting>
  <conditionalFormatting sqref="AC23 AC26 AC29">
    <cfRule type="expression" dxfId="23" priority="74" stopIfTrue="1">
      <formula>AND(ISNUMBER(AB23),AB23&gt;=$N21)</formula>
    </cfRule>
    <cfRule type="cellIs" dxfId="22" priority="75" stopIfTrue="1" operator="notBetween">
      <formula>0</formula>
      <formula>$N21</formula>
    </cfRule>
  </conditionalFormatting>
  <conditionalFormatting sqref="AC21 AC24 AC27">
    <cfRule type="expression" dxfId="21" priority="69" stopIfTrue="1">
      <formula>AND(ISNUMBER(AB23),AB23&gt;=$N21)</formula>
    </cfRule>
    <cfRule type="expression" dxfId="20" priority="70" stopIfTrue="1">
      <formula>$B23=FALSE</formula>
    </cfRule>
    <cfRule type="expression" dxfId="19" priority="71" stopIfTrue="1">
      <formula>$C23=1</formula>
    </cfRule>
  </conditionalFormatting>
  <conditionalFormatting sqref="L28:M29">
    <cfRule type="expression" dxfId="18" priority="3356" stopIfTrue="1">
      <formula>#REF!=1</formula>
    </cfRule>
  </conditionalFormatting>
  <conditionalFormatting sqref="L30:N30">
    <cfRule type="expression" dxfId="17" priority="62" stopIfTrue="1">
      <formula>$C32=1</formula>
    </cfRule>
  </conditionalFormatting>
  <conditionalFormatting sqref="O30">
    <cfRule type="expression" dxfId="16" priority="67" stopIfTrue="1">
      <formula>$B32=FALSE</formula>
    </cfRule>
    <cfRule type="expression" dxfId="15" priority="68" stopIfTrue="1">
      <formula>$C32=1</formula>
    </cfRule>
  </conditionalFormatting>
  <conditionalFormatting sqref="P31:W31">
    <cfRule type="expression" dxfId="14" priority="63" stopIfTrue="1">
      <formula>AND(ISNUMBER(O32),O32&gt;=$N30)</formula>
    </cfRule>
    <cfRule type="cellIs" dxfId="13" priority="64" stopIfTrue="1" operator="notBetween">
      <formula>0</formula>
      <formula>1</formula>
    </cfRule>
  </conditionalFormatting>
  <conditionalFormatting sqref="P32:W32">
    <cfRule type="expression" dxfId="12" priority="65" stopIfTrue="1">
      <formula>AND(ISNUMBER(O32),O32&gt;=$N30)</formula>
    </cfRule>
    <cfRule type="cellIs" dxfId="11" priority="66" stopIfTrue="1" operator="notBetween">
      <formula>0</formula>
      <formula>$N30</formula>
    </cfRule>
  </conditionalFormatting>
  <conditionalFormatting sqref="P30:W30">
    <cfRule type="expression" dxfId="10" priority="59" stopIfTrue="1">
      <formula>AND(ISNUMBER(O32),O32&gt;=$N30)</formula>
    </cfRule>
    <cfRule type="expression" dxfId="9" priority="60" stopIfTrue="1">
      <formula>$B32=FALSE</formula>
    </cfRule>
    <cfRule type="expression" dxfId="8" priority="61" stopIfTrue="1">
      <formula>$C32=1</formula>
    </cfRule>
  </conditionalFormatting>
  <conditionalFormatting sqref="AC31">
    <cfRule type="expression" dxfId="7" priority="55" stopIfTrue="1">
      <formula>AND(ISNUMBER(AB32),AB32&gt;=$N30)</formula>
    </cfRule>
    <cfRule type="cellIs" dxfId="6" priority="56" stopIfTrue="1" operator="notBetween">
      <formula>0</formula>
      <formula>1</formula>
    </cfRule>
  </conditionalFormatting>
  <conditionalFormatting sqref="AC32">
    <cfRule type="expression" dxfId="5" priority="57" stopIfTrue="1">
      <formula>AND(ISNUMBER(AB32),AB32&gt;=$N30)</formula>
    </cfRule>
    <cfRule type="cellIs" dxfId="4" priority="58" stopIfTrue="1" operator="notBetween">
      <formula>0</formula>
      <formula>$N30</formula>
    </cfRule>
  </conditionalFormatting>
  <conditionalFormatting sqref="AC30">
    <cfRule type="expression" dxfId="3" priority="52" stopIfTrue="1">
      <formula>AND(ISNUMBER(AB32),AB32&gt;=$N30)</formula>
    </cfRule>
    <cfRule type="expression" dxfId="2" priority="53" stopIfTrue="1">
      <formula>$B32=FALSE</formula>
    </cfRule>
    <cfRule type="expression" dxfId="1" priority="54" stopIfTrue="1">
      <formula>$C32=1</formula>
    </cfRule>
  </conditionalFormatting>
  <conditionalFormatting sqref="L31:M32">
    <cfRule type="expression" dxfId="0" priority="4784"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P30:W30 AC3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2025-05-22T11:53:18Z</cp:lastPrinted>
  <dcterms:created xsi:type="dcterms:W3CDTF">1998-03-27T18:43:07Z</dcterms:created>
  <dcterms:modified xsi:type="dcterms:W3CDTF">2025-05-22T12:51:34Z</dcterms:modified>
</cp:coreProperties>
</file>