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codeName="{899C9086-67A9-5B14-2C2D-5A8001700F7D}"/>
  <workbookPr codeName="EstaPasta_de_trabalho"/>
  <mc:AlternateContent xmlns:mc="http://schemas.openxmlformats.org/markup-compatibility/2006">
    <mc:Choice Requires="x15">
      <x15ac:absPath xmlns:x15ac="http://schemas.microsoft.com/office/spreadsheetml/2010/11/ac" url="Z:\ENGENHARIA\TOBIAS\2024 - MANUTENÇÃO ABRIGO PASSAGEIROS ONIBUS TAXI\Arquivos Para Requisição Licitação\Licitação 2025\Outros\"/>
    </mc:Choice>
  </mc:AlternateContent>
  <xr:revisionPtr revIDLastSave="0" documentId="13_ncr:1_{6B21C7EA-CB90-47FD-8D74-D4D4EBA9FC2A}" xr6:coauthVersionLast="47" xr6:coauthVersionMax="47" xr10:uidLastSave="{00000000-0000-0000-0000-000000000000}"/>
  <bookViews>
    <workbookView xWindow="-120" yWindow="-120" windowWidth="29040" windowHeight="15720" activeTab="3" xr2:uid="{00000000-000D-0000-FFFF-FFFF00000000}"/>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5">CFF!$A$1:$AA$27</definedName>
    <definedName name="_xlnm.Print_Area" localSheetId="0">DADOS!$A$1:$X$87</definedName>
    <definedName name="_xlnm.Print_Area" localSheetId="4">PLQ!$B$1:$O$38</definedName>
    <definedName name="_xlnm.Print_Area" localSheetId="3">PO!$K$1:$T$47</definedName>
    <definedName name="_xlnm.Database">TEXT(Import.DataBase,"mm-aaaa")</definedName>
    <definedName name="CFF.ColunaPadrão">CFF!$AK:$AK</definedName>
    <definedName name="CFF.Colunas">CFF!$P$10:$AF$10</definedName>
    <definedName name="CFF.Dados">OFFSET(CFF!$L$17,1,0):OFFSET(CFF!$AF$21,-1,-1)</definedName>
    <definedName name="CFF.IncluirLinha">MAX(PO!$V$12:$V$32)*CFF.NumLinha-ROW(CFF!$F$21)+ROW(CFF!$F$17)+1</definedName>
    <definedName name="CFF.Item">OFFSET(CFF!$L$17,1,0):OFFSET(CFF!$AF$21,-1,-1)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OFFSET(PO!$M$12,1,0):OFFSET(PO!$M$32,-1,0)</definedName>
    <definedName name="Import.CR">DADOS!$A$29</definedName>
    <definedName name="Import.CTEF">DADOS!$A$43</definedName>
    <definedName name="Import.CustoUnitário">OFFSET(PO!$Q$12,1,0):OFFSET(PO!$Q$32,-1,0)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OFFSET(PO!$N$12,1,0):OFFSET(PO!$N$32,-1,0)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OFFSET(PO!$L$12,1,0):OFFSET(PO!$L$32,-1,0)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OFFSET(PO!$K$12,1,0):OFFSET(PO!$K$32,-1,0)</definedName>
    <definedName name="Import.Localidade">DADOS!$K$32</definedName>
    <definedName name="Import.LocalSINAPI">DADOS!$D$38</definedName>
    <definedName name="Import.Município">DADOS!$G$32</definedName>
    <definedName name="Import.Nível">OFFSET(PO!$J$12,1,0):OFFSET(PO!$J$32,-1,0)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OFFSET(PLQ!$F$12,1,0):OFFSET(PLQ!$P$32,-1,-1)</definedName>
    <definedName name="Import.POArred">PO!$X$3:$X$7</definedName>
    <definedName name="Import.PreçoTotal">OFFSET(PO!$T$12,1,0):OFFSET(PO!$T$32,-1,0)</definedName>
    <definedName name="Import.PreçoUnitário">OFFSET(PO!$S$12,1,0):OFFSET(PO!$S$32,-1,0)</definedName>
    <definedName name="Import.Programa">DADOS!$F$29</definedName>
    <definedName name="Import.Proponente">DADOS!$A$32</definedName>
    <definedName name="Import.Quantidade">OFFSET(PO!$P$12,1,0):OFFSET(PO!$P$32,-1,0)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OFFSET(PO!$O$12,1,0):OFFSET(PO!$O$32,-1,0)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OFFSET(PO!$Z$12,1,0):OFFSET(PO!$Z$32,-1,0)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PO!$K$33</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PLQ!$B$9:OFFSET(PLQ!$B$32,-1,0)</definedName>
    <definedName name="PLQ.LinhaPadrão">PLQ!$A$11:$P$11</definedName>
    <definedName name="PLQ.qtde.frentes">COUNTA(PLQ!$F$9:$P$9)</definedName>
    <definedName name="PO.BDI">OFFSET(PO!$R$12,1,0):OFFSET(PO!$R$32,-1,0)</definedName>
    <definedName name="PO.CustoRef">OFFSET(PO!$Y$12,1,0):OFFSET(PO!$Y$32,-1,0)</definedName>
    <definedName name="PO.CustoUnitario">ROUND(PO!$Q1,15-13*PO!$X$4)</definedName>
    <definedName name="PO.Dados">PO!$C$12:OFFSET(PO!$Z$32,-1,0)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1" i="13" l="1"/>
  <c r="A31" i="13"/>
  <c r="W31" i="12"/>
  <c r="A31" i="12"/>
  <c r="F29" i="13"/>
  <c r="F23" i="13"/>
  <c r="F21" i="13"/>
  <c r="F30" i="13"/>
  <c r="A30" i="13"/>
  <c r="A29" i="13"/>
  <c r="F28" i="13"/>
  <c r="A28" i="13"/>
  <c r="F27" i="13"/>
  <c r="A27" i="13"/>
  <c r="F26" i="13"/>
  <c r="A26" i="13"/>
  <c r="F25" i="13"/>
  <c r="A25" i="13"/>
  <c r="F24" i="13"/>
  <c r="A24" i="13"/>
  <c r="A23" i="13"/>
  <c r="F22" i="13"/>
  <c r="A22" i="13"/>
  <c r="A21" i="13"/>
  <c r="F20" i="13"/>
  <c r="A20" i="13"/>
  <c r="W30" i="12"/>
  <c r="A30" i="12"/>
  <c r="W29" i="12"/>
  <c r="A29" i="12"/>
  <c r="W28" i="12"/>
  <c r="A28" i="12"/>
  <c r="W27" i="12"/>
  <c r="A27" i="12"/>
  <c r="V27" i="12" s="1"/>
  <c r="W26" i="12"/>
  <c r="A26" i="12"/>
  <c r="W25" i="12"/>
  <c r="A25" i="12"/>
  <c r="V25" i="12" s="1"/>
  <c r="W24" i="12"/>
  <c r="A24" i="12"/>
  <c r="W23" i="12"/>
  <c r="A23" i="12"/>
  <c r="H23" i="12" s="1"/>
  <c r="W22" i="12"/>
  <c r="A22" i="12"/>
  <c r="W21" i="12"/>
  <c r="A21" i="12"/>
  <c r="H21" i="12" s="1"/>
  <c r="W20" i="12"/>
  <c r="A20" i="12"/>
  <c r="X2" i="11"/>
  <c r="F19" i="13"/>
  <c r="A19" i="13"/>
  <c r="F18" i="13"/>
  <c r="A18" i="13"/>
  <c r="F17" i="13"/>
  <c r="A17" i="13"/>
  <c r="W19" i="12"/>
  <c r="A19" i="12"/>
  <c r="V19" i="12" s="1"/>
  <c r="W18" i="12"/>
  <c r="A18" i="12"/>
  <c r="V18" i="12" s="1"/>
  <c r="W17" i="12"/>
  <c r="A17" i="12"/>
  <c r="V17" i="12" s="1"/>
  <c r="E31" i="13" l="1"/>
  <c r="H31" i="12"/>
  <c r="V31" i="12"/>
  <c r="I31" i="12"/>
  <c r="B31" i="12"/>
  <c r="V23" i="12"/>
  <c r="V21" i="12"/>
  <c r="H27" i="12"/>
  <c r="H25" i="12"/>
  <c r="E20" i="13"/>
  <c r="E24" i="13"/>
  <c r="E21" i="13"/>
  <c r="E25" i="13"/>
  <c r="E29" i="13"/>
  <c r="E30" i="13"/>
  <c r="E22" i="13"/>
  <c r="E23" i="13"/>
  <c r="E26" i="13"/>
  <c r="E27" i="13"/>
  <c r="V20" i="12"/>
  <c r="H22" i="12"/>
  <c r="V22" i="12"/>
  <c r="H24" i="12"/>
  <c r="V24" i="12"/>
  <c r="H26" i="12"/>
  <c r="V26" i="12"/>
  <c r="H28" i="12"/>
  <c r="V28" i="12"/>
  <c r="H30" i="12"/>
  <c r="V30" i="12"/>
  <c r="H20" i="12"/>
  <c r="I24" i="12"/>
  <c r="I26" i="12"/>
  <c r="I28" i="12"/>
  <c r="I30" i="12"/>
  <c r="E28" i="13"/>
  <c r="I22" i="12"/>
  <c r="B20" i="12"/>
  <c r="B22" i="12"/>
  <c r="B24" i="12"/>
  <c r="B26" i="12"/>
  <c r="B28" i="12"/>
  <c r="B30" i="12"/>
  <c r="I20" i="12"/>
  <c r="H29" i="12"/>
  <c r="V29" i="12"/>
  <c r="I21" i="12"/>
  <c r="I25" i="12"/>
  <c r="I27" i="12"/>
  <c r="I29" i="12"/>
  <c r="I23" i="12"/>
  <c r="B21" i="12"/>
  <c r="B23" i="12"/>
  <c r="B25" i="12"/>
  <c r="B27" i="12"/>
  <c r="B29" i="12"/>
  <c r="E19" i="13"/>
  <c r="E17" i="13"/>
  <c r="B17" i="12"/>
  <c r="B18" i="12"/>
  <c r="B19" i="12"/>
  <c r="I17" i="12"/>
  <c r="I18" i="12"/>
  <c r="E18" i="13"/>
  <c r="I19" i="12"/>
  <c r="H17" i="12"/>
  <c r="H18" i="12"/>
  <c r="H19" i="12"/>
  <c r="J50" i="18" l="1"/>
  <c r="J49" i="18"/>
  <c r="J48" i="18"/>
  <c r="J47" i="18"/>
  <c r="A45" i="18"/>
  <c r="A46" i="18" s="1"/>
  <c r="C44" i="18"/>
  <c r="A39" i="18"/>
  <c r="A40" i="18" s="1"/>
  <c r="C38" i="18"/>
  <c r="I35" i="18"/>
  <c r="M32" i="18"/>
  <c r="I29" i="18"/>
  <c r="A28" i="18"/>
  <c r="C28" i="18" s="1"/>
  <c r="C27" i="18"/>
  <c r="N24" i="18"/>
  <c r="M22" i="18"/>
  <c r="I22" i="18"/>
  <c r="A22" i="18"/>
  <c r="C22" i="18" s="1"/>
  <c r="M21" i="18"/>
  <c r="I21" i="18"/>
  <c r="C21" i="18"/>
  <c r="M20" i="18"/>
  <c r="I20" i="18"/>
  <c r="M19" i="18"/>
  <c r="I19" i="18"/>
  <c r="M18" i="18"/>
  <c r="I18" i="18"/>
  <c r="A15" i="18"/>
  <c r="A17" i="18" s="1"/>
  <c r="C14" i="18"/>
  <c r="C13" i="18"/>
  <c r="C12" i="18"/>
  <c r="Q11" i="18"/>
  <c r="I37" i="18" s="1"/>
  <c r="C11" i="18"/>
  <c r="C10" i="18"/>
  <c r="C9" i="18"/>
  <c r="I8" i="18"/>
  <c r="C8" i="18"/>
  <c r="K5" i="18"/>
  <c r="I5" i="18"/>
  <c r="A3" i="18"/>
  <c r="C3" i="18" s="1"/>
  <c r="C2" i="18"/>
  <c r="N1" i="18"/>
  <c r="C15" i="18" l="1"/>
  <c r="C17" i="18"/>
  <c r="A18" i="18"/>
  <c r="A19" i="18" s="1"/>
  <c r="C19" i="18" s="1"/>
  <c r="A4" i="18"/>
  <c r="A5" i="18" s="1"/>
  <c r="C5" i="18" s="1"/>
  <c r="C39" i="18"/>
  <c r="A23" i="18"/>
  <c r="A29" i="18"/>
  <c r="A32" i="18" s="1"/>
  <c r="A41" i="18"/>
  <c r="C40" i="18"/>
  <c r="A20" i="18"/>
  <c r="C20" i="18" s="1"/>
  <c r="A33" i="18"/>
  <c r="C32" i="18"/>
  <c r="C46" i="18"/>
  <c r="A47" i="18"/>
  <c r="C4" i="18"/>
  <c r="C18" i="18"/>
  <c r="N25" i="18"/>
  <c r="O25" i="18" s="1"/>
  <c r="N26" i="18"/>
  <c r="C29" i="18"/>
  <c r="L32" i="18"/>
  <c r="M33" i="18"/>
  <c r="C45" i="18"/>
  <c r="A6" i="18" l="1"/>
  <c r="C23" i="18"/>
  <c r="A24" i="18"/>
  <c r="A34" i="18"/>
  <c r="C34" i="18" s="1"/>
  <c r="C33" i="18"/>
  <c r="A48" i="18"/>
  <c r="C47" i="18"/>
  <c r="N27" i="18"/>
  <c r="C6" i="18"/>
  <c r="A7" i="18"/>
  <c r="C7" i="18" s="1"/>
  <c r="A42" i="18"/>
  <c r="C41" i="18"/>
  <c r="A25" i="18" l="1"/>
  <c r="C24" i="18"/>
  <c r="C42" i="18"/>
  <c r="A43" i="18"/>
  <c r="C43" i="18" s="1"/>
  <c r="A49" i="18"/>
  <c r="C49" i="18" s="1"/>
  <c r="C48" i="18"/>
  <c r="A26" i="18" l="1"/>
  <c r="C26" i="18" s="1"/>
  <c r="R19" i="18" s="1"/>
  <c r="C25" i="18"/>
  <c r="Q21" i="18" s="1"/>
  <c r="Q18" i="18" l="1"/>
  <c r="Q20" i="18"/>
  <c r="Q22" i="18"/>
  <c r="R22" i="18"/>
  <c r="P22" i="18"/>
  <c r="P26" i="18"/>
  <c r="Q26" i="18"/>
  <c r="R26" i="18"/>
  <c r="R20" i="18"/>
  <c r="P19" i="18"/>
  <c r="P21" i="18"/>
  <c r="P18" i="18"/>
  <c r="Q19" i="18"/>
  <c r="R18" i="18"/>
  <c r="P20" i="18"/>
  <c r="R21" i="18"/>
  <c r="O26" i="18" l="1"/>
  <c r="V27" i="18" l="1"/>
  <c r="T16" i="18" s="1"/>
  <c r="O27" i="18"/>
  <c r="F16" i="13"/>
  <c r="A16" i="13"/>
  <c r="F15" i="13"/>
  <c r="A15" i="13"/>
  <c r="W16" i="12"/>
  <c r="A16" i="12"/>
  <c r="V16" i="12" s="1"/>
  <c r="W15" i="12"/>
  <c r="A15" i="12"/>
  <c r="V15" i="12" s="1"/>
  <c r="B15" i="12" l="1"/>
  <c r="H15" i="12"/>
  <c r="B16" i="12"/>
  <c r="H16" i="12"/>
  <c r="E15" i="13"/>
  <c r="I15" i="12"/>
  <c r="E16" i="13"/>
  <c r="I16" i="12"/>
  <c r="F11" i="13" l="1"/>
  <c r="F14" i="13"/>
  <c r="F13" i="13"/>
  <c r="A14" i="13" l="1"/>
  <c r="W14" i="12"/>
  <c r="A14" i="12"/>
  <c r="V14" i="12" s="1"/>
  <c r="B14" i="12" l="1"/>
  <c r="H14" i="12"/>
  <c r="E14" i="13"/>
  <c r="I14" i="12"/>
  <c r="E7" i="13" l="1"/>
  <c r="P9" i="12"/>
  <c r="F10" i="13"/>
  <c r="G10" i="13" s="1"/>
  <c r="H10" i="13" s="1"/>
  <c r="I10" i="13" s="1"/>
  <c r="J10" i="13" s="1"/>
  <c r="K10" i="13" s="1"/>
  <c r="L10" i="13" s="1"/>
  <c r="M10" i="13" s="1"/>
  <c r="N10" i="13" s="1"/>
  <c r="O10" i="13" s="1"/>
  <c r="U10" i="13"/>
  <c r="AK9" i="11"/>
  <c r="AK10" i="11" s="1"/>
  <c r="K40" i="12"/>
  <c r="X13" i="12"/>
  <c r="W13" i="12"/>
  <c r="N24" i="17"/>
  <c r="N26" i="17" s="1"/>
  <c r="Q224" i="16"/>
  <c r="Q223" i="16"/>
  <c r="P2" i="11"/>
  <c r="A20" i="11"/>
  <c r="Q10" i="12"/>
  <c r="Q11" i="17"/>
  <c r="M33" i="17" s="1"/>
  <c r="N8" i="11"/>
  <c r="O9" i="11"/>
  <c r="P9" i="11" s="1"/>
  <c r="O10" i="11"/>
  <c r="A13" i="11"/>
  <c r="K13" i="11" s="1"/>
  <c r="N11" i="11" s="1"/>
  <c r="D17" i="11"/>
  <c r="L23" i="11"/>
  <c r="K46" i="12"/>
  <c r="A11" i="13"/>
  <c r="E11" i="13" s="1"/>
  <c r="X11" i="12"/>
  <c r="O11" i="12" s="1"/>
  <c r="D11" i="13" s="1"/>
  <c r="J12" i="12"/>
  <c r="A12" i="13" s="1"/>
  <c r="N12" i="12"/>
  <c r="U12" i="12" s="1"/>
  <c r="A13" i="13"/>
  <c r="E13" i="13" s="1"/>
  <c r="K43"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A40" i="17"/>
  <c r="A41" i="17" s="1"/>
  <c r="C44" i="17"/>
  <c r="A45" i="17"/>
  <c r="A46" i="17" s="1"/>
  <c r="A47" i="17" s="1"/>
  <c r="A48"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V38" i="16"/>
  <c r="W38" i="16"/>
  <c r="U38" i="16"/>
  <c r="X38" i="16"/>
  <c r="A17" i="17" l="1"/>
  <c r="C17" i="17" s="1"/>
  <c r="I50" i="17"/>
  <c r="I50" i="18"/>
  <c r="B34" i="13"/>
  <c r="I42" i="18"/>
  <c r="I49" i="17"/>
  <c r="I49" i="18"/>
  <c r="B37" i="13"/>
  <c r="O42" i="18"/>
  <c r="C45" i="17"/>
  <c r="G57" i="16"/>
  <c r="C46" i="17"/>
  <c r="C40" i="17"/>
  <c r="C28" i="17"/>
  <c r="N25" i="17"/>
  <c r="O25" i="17" s="1"/>
  <c r="I37" i="17"/>
  <c r="L32" i="17"/>
  <c r="A49" i="17"/>
  <c r="C49" i="17" s="1"/>
  <c r="C48" i="17"/>
  <c r="A18" i="17"/>
  <c r="C47" i="17"/>
  <c r="A4" i="17"/>
  <c r="A23" i="17"/>
  <c r="D11" i="12"/>
  <c r="V11" i="12"/>
  <c r="F11" i="12"/>
  <c r="H11" i="12"/>
  <c r="E11" i="12"/>
  <c r="C11" i="12"/>
  <c r="B11" i="12"/>
  <c r="C13" i="12"/>
  <c r="C14" i="12" s="1"/>
  <c r="V13" i="12"/>
  <c r="F13" i="12"/>
  <c r="L26" i="11"/>
  <c r="O42" i="17"/>
  <c r="L11" i="11"/>
  <c r="A5" i="12"/>
  <c r="I11" i="12"/>
  <c r="G13" i="12"/>
  <c r="S13" i="12"/>
  <c r="E13" i="12"/>
  <c r="D13" i="12"/>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C15" i="12" l="1"/>
  <c r="N27" i="17"/>
  <c r="A5" i="17"/>
  <c r="C4" i="17"/>
  <c r="A19" i="17"/>
  <c r="C18" i="17"/>
  <c r="C23" i="17"/>
  <c r="A24" i="17"/>
  <c r="C20" i="11"/>
  <c r="K11" i="12"/>
  <c r="B11" i="13" s="1"/>
  <c r="M18" i="11"/>
  <c r="K13" i="12"/>
  <c r="L18" i="11" s="1"/>
  <c r="C11" i="13"/>
  <c r="R9" i="11"/>
  <c r="S9" i="11" s="1"/>
  <c r="T9" i="11" s="1"/>
  <c r="U9" i="11" s="1"/>
  <c r="V9" i="11" s="1"/>
  <c r="W9" i="11" s="1"/>
  <c r="X9" i="11" s="1"/>
  <c r="Y9" i="11" s="1"/>
  <c r="Z9" i="11" s="1"/>
  <c r="AA9" i="11" s="1"/>
  <c r="AB9" i="11" s="1"/>
  <c r="AC9" i="11" s="1"/>
  <c r="AD9" i="11" s="1"/>
  <c r="AE9" i="11" s="1"/>
  <c r="G13" i="11"/>
  <c r="I13" i="11"/>
  <c r="H13" i="11"/>
  <c r="B13" i="11"/>
  <c r="E13" i="11"/>
  <c r="J13" i="11"/>
  <c r="C42" i="17"/>
  <c r="A43" i="17"/>
  <c r="C43" i="17" s="1"/>
  <c r="C33" i="17"/>
  <c r="A34" i="17"/>
  <c r="C34" i="17" s="1"/>
  <c r="T38" i="16"/>
  <c r="Z31" i="12" l="1"/>
  <c r="Z24" i="12"/>
  <c r="Z30" i="12"/>
  <c r="Z28" i="12"/>
  <c r="Z26" i="12"/>
  <c r="Z22" i="12"/>
  <c r="Z20" i="12"/>
  <c r="Z29" i="12"/>
  <c r="Z27" i="12"/>
  <c r="Z25" i="12"/>
  <c r="Z23" i="12"/>
  <c r="Z21" i="12"/>
  <c r="AE13" i="11"/>
  <c r="AA13" i="11"/>
  <c r="AE12" i="11"/>
  <c r="AA12" i="11"/>
  <c r="AE11" i="11"/>
  <c r="AA11" i="11"/>
  <c r="AD13" i="11"/>
  <c r="Z13" i="11"/>
  <c r="AD12" i="11"/>
  <c r="Z12" i="11"/>
  <c r="AD11" i="11"/>
  <c r="Z11" i="11"/>
  <c r="AC13" i="11"/>
  <c r="Y13" i="11"/>
  <c r="AC12" i="11"/>
  <c r="Y12" i="11"/>
  <c r="AC11" i="11"/>
  <c r="Y11" i="11"/>
  <c r="AB13" i="11"/>
  <c r="X13" i="11"/>
  <c r="AB12" i="11"/>
  <c r="X12" i="11"/>
  <c r="AB11" i="11"/>
  <c r="X11" i="11"/>
  <c r="G20" i="11"/>
  <c r="Z19" i="12"/>
  <c r="Z18" i="12"/>
  <c r="Z17" i="12"/>
  <c r="Z15" i="12"/>
  <c r="Z16" i="12"/>
  <c r="S108" i="16"/>
  <c r="Z13" i="12"/>
  <c r="Z11" i="12"/>
  <c r="S11" i="12" s="1"/>
  <c r="T11" i="12" s="1"/>
  <c r="Z14" i="12"/>
  <c r="T227" i="16"/>
  <c r="C19" i="17"/>
  <c r="A20" i="17"/>
  <c r="C20" i="17" s="1"/>
  <c r="C24" i="17"/>
  <c r="A25" i="17"/>
  <c r="C5" i="17"/>
  <c r="A6" i="17"/>
  <c r="D14" i="12"/>
  <c r="F14" i="12"/>
  <c r="G14" i="12"/>
  <c r="E14" i="12"/>
  <c r="E20" i="11"/>
  <c r="H20" i="11"/>
  <c r="F20" i="11"/>
  <c r="B13" i="13"/>
  <c r="R10" i="11"/>
  <c r="T10" i="11" s="1"/>
  <c r="V10" i="11" s="1"/>
  <c r="X10" i="11" s="1"/>
  <c r="Z10" i="11" s="1"/>
  <c r="AB10" i="11" s="1"/>
  <c r="AD10" i="11" s="1"/>
  <c r="D13" i="11"/>
  <c r="W13" i="11"/>
  <c r="R11" i="11"/>
  <c r="Q11" i="11"/>
  <c r="W12" i="11"/>
  <c r="V12" i="11"/>
  <c r="S13" i="11"/>
  <c r="Q13" i="11"/>
  <c r="R13" i="11"/>
  <c r="AK12" i="11"/>
  <c r="AK13" i="11"/>
  <c r="V11" i="11"/>
  <c r="P13" i="11"/>
  <c r="U11" i="11"/>
  <c r="T13" i="11"/>
  <c r="AK11" i="11"/>
  <c r="U13" i="11"/>
  <c r="S11" i="11"/>
  <c r="W11" i="11"/>
  <c r="T12" i="11"/>
  <c r="S12" i="11"/>
  <c r="P12" i="11"/>
  <c r="V13" i="11"/>
  <c r="R12" i="11"/>
  <c r="Q12" i="11"/>
  <c r="T11" i="11"/>
  <c r="U12" i="11"/>
  <c r="P11" i="11"/>
  <c r="S10" i="11"/>
  <c r="U10" i="11" s="1"/>
  <c r="W10" i="11" s="1"/>
  <c r="Y10" i="11" s="1"/>
  <c r="AA10" i="11" s="1"/>
  <c r="AC10" i="11" s="1"/>
  <c r="AE10" i="11" s="1"/>
  <c r="G15" i="12" l="1"/>
  <c r="F15" i="12"/>
  <c r="F16" i="12" s="1"/>
  <c r="D15" i="12"/>
  <c r="D16" i="12" s="1"/>
  <c r="E15" i="12"/>
  <c r="E16" i="12" s="1"/>
  <c r="C25" i="17"/>
  <c r="A26" i="17"/>
  <c r="C26" i="17" s="1"/>
  <c r="C6" i="17"/>
  <c r="A7" i="17"/>
  <c r="C7" i="17" s="1"/>
  <c r="Q20" i="17" s="1"/>
  <c r="K14" i="12"/>
  <c r="B14" i="13" s="1"/>
  <c r="D17" i="12" l="1"/>
  <c r="D18" i="12" s="1"/>
  <c r="D19" i="12" s="1"/>
  <c r="D20" i="12" s="1"/>
  <c r="D21" i="12" s="1"/>
  <c r="D22" i="12" s="1"/>
  <c r="D23" i="12" s="1"/>
  <c r="D24" i="12" s="1"/>
  <c r="D25" i="12" s="1"/>
  <c r="D26" i="12" s="1"/>
  <c r="D27" i="12" s="1"/>
  <c r="D28" i="12" s="1"/>
  <c r="D29" i="12" s="1"/>
  <c r="D30" i="12" s="1"/>
  <c r="D31" i="12" s="1"/>
  <c r="F17" i="12"/>
  <c r="F18" i="12" s="1"/>
  <c r="F19" i="12" s="1"/>
  <c r="F20" i="12" s="1"/>
  <c r="F21" i="12" s="1"/>
  <c r="F22" i="12" s="1"/>
  <c r="F23" i="12" s="1"/>
  <c r="F24" i="12" s="1"/>
  <c r="F25" i="12" s="1"/>
  <c r="F26" i="12" s="1"/>
  <c r="F27" i="12" s="1"/>
  <c r="F28" i="12" s="1"/>
  <c r="F29" i="12" s="1"/>
  <c r="F30" i="12" s="1"/>
  <c r="F31" i="12" s="1"/>
  <c r="E17" i="12"/>
  <c r="E18" i="12" s="1"/>
  <c r="E19" i="12" s="1"/>
  <c r="E20" i="12" s="1"/>
  <c r="E21" i="12" s="1"/>
  <c r="E22" i="12" s="1"/>
  <c r="E23" i="12" s="1"/>
  <c r="E24" i="12" s="1"/>
  <c r="E25" i="12" s="1"/>
  <c r="E26" i="12" s="1"/>
  <c r="E27" i="12" s="1"/>
  <c r="E28" i="12" s="1"/>
  <c r="E29" i="12" s="1"/>
  <c r="E30" i="12" s="1"/>
  <c r="E31" i="12" s="1"/>
  <c r="K15" i="12"/>
  <c r="B15" i="13" s="1"/>
  <c r="P18" i="17"/>
  <c r="R26" i="17"/>
  <c r="P22" i="17"/>
  <c r="P19" i="17"/>
  <c r="P21" i="17"/>
  <c r="R22" i="17"/>
  <c r="Q26" i="17"/>
  <c r="Q22" i="17"/>
  <c r="R19" i="17"/>
  <c r="P26" i="17"/>
  <c r="O26" i="17" s="1"/>
  <c r="O27" i="17" s="1"/>
  <c r="R21" i="17"/>
  <c r="R18" i="17"/>
  <c r="Q18" i="17"/>
  <c r="P20" i="17"/>
  <c r="R20" i="17"/>
  <c r="Q21" i="17"/>
  <c r="Q19" i="17"/>
  <c r="C16" i="12" l="1"/>
  <c r="B20" i="11"/>
  <c r="V27" i="17"/>
  <c r="T16" i="17" s="1"/>
  <c r="AE18" i="11" l="1"/>
  <c r="AD18" i="11"/>
  <c r="AC18" i="11"/>
  <c r="AB18" i="11"/>
  <c r="C17" i="12" l="1"/>
  <c r="G16" i="12"/>
  <c r="G17" i="12" s="1"/>
  <c r="G18" i="12" s="1"/>
  <c r="G19" i="12" s="1"/>
  <c r="G20" i="12" s="1"/>
  <c r="G21" i="12" s="1"/>
  <c r="G22" i="12" s="1"/>
  <c r="G23" i="12" s="1"/>
  <c r="G24" i="12" s="1"/>
  <c r="G25" i="12" s="1"/>
  <c r="G26" i="12" s="1"/>
  <c r="G27" i="12" s="1"/>
  <c r="G28" i="12" s="1"/>
  <c r="G29" i="12" s="1"/>
  <c r="G30" i="12" s="1"/>
  <c r="G31" i="12" s="1"/>
  <c r="K17" i="12" l="1"/>
  <c r="B17" i="13" s="1"/>
  <c r="C18" i="12"/>
  <c r="K16" i="12"/>
  <c r="B16" i="13" s="1"/>
  <c r="AK18" i="11"/>
  <c r="AK19" i="11" s="1"/>
  <c r="K18" i="12" l="1"/>
  <c r="B18" i="13" s="1"/>
  <c r="C19" i="12"/>
  <c r="C20" i="12" s="1"/>
  <c r="P19" i="11"/>
  <c r="C21" i="12" l="1"/>
  <c r="K20" i="12"/>
  <c r="B20" i="13" s="1"/>
  <c r="K19" i="12"/>
  <c r="B19" i="13" s="1"/>
  <c r="Q19" i="11"/>
  <c r="C22" i="12" l="1"/>
  <c r="K21" i="12"/>
  <c r="B21" i="13" s="1"/>
  <c r="J20" i="11"/>
  <c r="R19" i="11"/>
  <c r="C23" i="12" l="1"/>
  <c r="K22" i="12"/>
  <c r="B22" i="13" s="1"/>
  <c r="S19" i="11"/>
  <c r="K23" i="12" l="1"/>
  <c r="B23" i="13" s="1"/>
  <c r="C24" i="12"/>
  <c r="T19" i="11"/>
  <c r="C25" i="12" l="1"/>
  <c r="K24" i="12"/>
  <c r="B24" i="13" s="1"/>
  <c r="U19" i="11"/>
  <c r="K25" i="12" l="1"/>
  <c r="B25" i="13" s="1"/>
  <c r="C26" i="12"/>
  <c r="V19" i="11"/>
  <c r="C27" i="12" l="1"/>
  <c r="K26" i="12"/>
  <c r="B26" i="13" s="1"/>
  <c r="W19" i="11"/>
  <c r="X19" i="11" s="1"/>
  <c r="C28" i="12" l="1"/>
  <c r="K27" i="12"/>
  <c r="B27" i="13" s="1"/>
  <c r="Y19" i="11"/>
  <c r="I20" i="11"/>
  <c r="D20" i="11" s="1"/>
  <c r="C29" i="12" l="1"/>
  <c r="K28" i="12"/>
  <c r="B28" i="13" s="1"/>
  <c r="Z19" i="11"/>
  <c r="C30" i="12" l="1"/>
  <c r="K29" i="12"/>
  <c r="B29" i="13" s="1"/>
  <c r="AA19" i="11"/>
  <c r="K30" i="12" l="1"/>
  <c r="B30" i="13" s="1"/>
  <c r="C31" i="12"/>
  <c r="K31" i="12" s="1"/>
  <c r="B31" i="13" s="1"/>
  <c r="AB19" i="11"/>
  <c r="I13" i="12" l="1"/>
  <c r="AC19" i="11"/>
  <c r="H13" i="12"/>
  <c r="B13" i="12" l="1"/>
  <c r="B12" i="12" s="1"/>
  <c r="AD19" i="11"/>
  <c r="AE19" i="11" l="1"/>
  <c r="X28" i="12" l="1"/>
  <c r="X14" i="12"/>
  <c r="X29" i="12"/>
  <c r="X21" i="12"/>
  <c r="X31" i="12"/>
  <c r="X22" i="12"/>
  <c r="X20" i="12"/>
  <c r="X19" i="12"/>
  <c r="X27" i="12"/>
  <c r="X16" i="12"/>
  <c r="X18" i="12"/>
  <c r="X17" i="12"/>
  <c r="X23" i="12"/>
  <c r="X26" i="12"/>
  <c r="X25" i="12"/>
  <c r="X15" i="12"/>
  <c r="X30" i="12"/>
  <c r="X24" i="12"/>
  <c r="D31" i="13" l="1"/>
  <c r="C19" i="13"/>
  <c r="C23" i="13"/>
  <c r="D15" i="13"/>
  <c r="D29" i="13"/>
  <c r="C18" i="13"/>
  <c r="C29" i="13"/>
  <c r="D22" i="13"/>
  <c r="D18" i="13"/>
  <c r="C26" i="13"/>
  <c r="D28" i="13"/>
  <c r="C22" i="13"/>
  <c r="D27" i="13"/>
  <c r="D26" i="13"/>
  <c r="D30" i="13"/>
  <c r="C28" i="13"/>
  <c r="C21" i="13"/>
  <c r="C27" i="13"/>
  <c r="D17" i="13"/>
  <c r="C30" i="13"/>
  <c r="D21" i="13"/>
  <c r="C20" i="13"/>
  <c r="C17" i="13"/>
  <c r="C25" i="13"/>
  <c r="D14" i="13"/>
  <c r="C31" i="13"/>
  <c r="D20" i="13"/>
  <c r="C16" i="13"/>
  <c r="D23" i="13"/>
  <c r="D25" i="13"/>
  <c r="D24" i="13"/>
  <c r="C14" i="13"/>
  <c r="D19" i="13"/>
  <c r="D16" i="13"/>
  <c r="C15" i="13"/>
  <c r="C24" i="13"/>
  <c r="S19" i="12" l="1"/>
  <c r="T19" i="12" s="1"/>
  <c r="U19" i="12" s="1"/>
  <c r="S18" i="12"/>
  <c r="T18" i="12" s="1"/>
  <c r="U18" i="12" s="1"/>
  <c r="S16" i="12"/>
  <c r="T16" i="12" s="1"/>
  <c r="U16" i="12" s="1"/>
  <c r="S26" i="12"/>
  <c r="T26" i="12" s="1"/>
  <c r="U26" i="12" s="1"/>
  <c r="S25" i="12"/>
  <c r="T25" i="12" s="1"/>
  <c r="U25" i="12" s="1"/>
  <c r="S29" i="12"/>
  <c r="T29" i="12" s="1"/>
  <c r="U29" i="12" s="1"/>
  <c r="S31" i="12"/>
  <c r="T31" i="12" s="1"/>
  <c r="U31" i="12" s="1"/>
  <c r="S22" i="12"/>
  <c r="T22" i="12" s="1"/>
  <c r="U22" i="12" s="1"/>
  <c r="S17" i="12"/>
  <c r="T17" i="12" s="1"/>
  <c r="U17" i="12" s="1"/>
  <c r="S24" i="12" l="1"/>
  <c r="T24" i="12" s="1"/>
  <c r="U24" i="12" s="1"/>
  <c r="S27" i="12"/>
  <c r="T27" i="12" s="1"/>
  <c r="U27" i="12" s="1"/>
  <c r="S30" i="12"/>
  <c r="T30" i="12" s="1"/>
  <c r="U30" i="12" s="1"/>
  <c r="S20" i="12"/>
  <c r="T20" i="12" s="1"/>
  <c r="U20" i="12" s="1"/>
  <c r="S21" i="12"/>
  <c r="T21" i="12" s="1"/>
  <c r="U21" i="12" s="1"/>
  <c r="S23" i="12"/>
  <c r="T23" i="12" s="1"/>
  <c r="U23" i="12" s="1"/>
  <c r="S15" i="12"/>
  <c r="T15" i="12" s="1"/>
  <c r="U15" i="12" s="1"/>
  <c r="S14" i="12"/>
  <c r="T14" i="12" s="1"/>
  <c r="S28" i="12"/>
  <c r="T28" i="12" s="1"/>
  <c r="U28" i="12" s="1"/>
  <c r="T12" i="12" l="1"/>
  <c r="N14" i="11" s="1"/>
  <c r="T13" i="12"/>
  <c r="U14" i="12"/>
  <c r="U13" i="12" l="1"/>
  <c r="U5" i="12" s="1"/>
  <c r="K20" i="11"/>
  <c r="N18" i="11" s="1"/>
  <c r="X20" i="11" l="1"/>
  <c r="X17" i="11" s="1"/>
  <c r="Y20" i="11"/>
  <c r="Y17" i="11" s="1"/>
  <c r="U20" i="11"/>
  <c r="U17" i="11" s="1"/>
  <c r="Q20" i="11"/>
  <c r="Q17" i="11" s="1"/>
  <c r="AD20" i="11"/>
  <c r="AD17" i="11" s="1"/>
  <c r="AE20" i="11"/>
  <c r="AE17" i="11" s="1"/>
  <c r="AK20" i="11"/>
  <c r="AK17" i="11" s="1"/>
  <c r="T20" i="11"/>
  <c r="T17" i="11" s="1"/>
  <c r="W20" i="11"/>
  <c r="W17" i="11" s="1"/>
  <c r="P20" i="11"/>
  <c r="P17" i="11" s="1"/>
  <c r="AC20" i="11"/>
  <c r="AC17" i="11" s="1"/>
  <c r="R20" i="11"/>
  <c r="R17" i="11" s="1"/>
  <c r="V20" i="11"/>
  <c r="V17" i="11" s="1"/>
  <c r="S20" i="11"/>
  <c r="S17" i="11" s="1"/>
  <c r="AA20" i="11"/>
  <c r="AA17" i="11" s="1"/>
  <c r="Z20" i="11"/>
  <c r="Z17" i="11" s="1"/>
  <c r="AB20" i="11"/>
  <c r="AB17" i="11" s="1"/>
  <c r="U16" i="11" l="1"/>
  <c r="U15" i="11"/>
  <c r="U14" i="11" s="1"/>
  <c r="Y15" i="11"/>
  <c r="Y14" i="11" s="1"/>
  <c r="Y16" i="11"/>
  <c r="AB16" i="11"/>
  <c r="AB15" i="11"/>
  <c r="AB14" i="11" s="1"/>
  <c r="W15" i="11"/>
  <c r="W14" i="11" s="1"/>
  <c r="W16" i="11"/>
  <c r="X15" i="11"/>
  <c r="X14" i="11" s="1"/>
  <c r="X16" i="11"/>
  <c r="Z16" i="11"/>
  <c r="Z15" i="11"/>
  <c r="Z14" i="11" s="1"/>
  <c r="T15" i="11"/>
  <c r="T14" i="11" s="1"/>
  <c r="T16" i="11"/>
  <c r="AK15" i="11"/>
  <c r="AK14" i="11" s="1"/>
  <c r="AK16" i="11"/>
  <c r="AC15" i="11"/>
  <c r="AC14" i="11" s="1"/>
  <c r="AC16" i="11"/>
  <c r="AA15" i="11"/>
  <c r="AA14" i="11" s="1"/>
  <c r="AA16" i="11"/>
  <c r="S15" i="11"/>
  <c r="S14" i="11" s="1"/>
  <c r="S16" i="11"/>
  <c r="AE15" i="11"/>
  <c r="AE14" i="11" s="1"/>
  <c r="AE16" i="11"/>
  <c r="V15" i="11"/>
  <c r="V14" i="11" s="1"/>
  <c r="V16" i="11"/>
  <c r="AD15" i="11"/>
  <c r="AD14" i="11" s="1"/>
  <c r="AD16" i="11"/>
  <c r="R16" i="11"/>
  <c r="R15" i="11"/>
  <c r="R14" i="11" s="1"/>
  <c r="Q15" i="11"/>
  <c r="Q14" i="11" s="1"/>
  <c r="Q16" i="11"/>
  <c r="P16" i="11"/>
  <c r="P15" i="11"/>
  <c r="P14" i="11" s="1"/>
  <c r="L8" i="11" l="1"/>
</calcChain>
</file>

<file path=xl/sharedStrings.xml><?xml version="1.0" encoding="utf-8"?>
<sst xmlns="http://schemas.openxmlformats.org/spreadsheetml/2006/main" count="598" uniqueCount="288">
  <si>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</si>
  <si>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</si>
  <si>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</si>
  <si>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</si>
  <si>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</si>
  <si>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</si>
  <si>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</si>
  <si>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</si>
  <si>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</si>
  <si>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</si>
  <si>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</si>
  <si>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</si>
  <si>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</si>
  <si>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</si>
  <si>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</si>
  <si>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</si>
  <si>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</si>
  <si>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</si>
  <si>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</si>
  <si>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</si>
  <si>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</si>
  <si>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</si>
  <si>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</si>
  <si>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</si>
  <si>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</si>
  <si>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</si>
  <si>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</si>
  <si>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</si>
  <si>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</si>
  <si>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</si>
  <si>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</si>
  <si>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</si>
  <si>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</si>
  <si>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</si>
  <si>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</si>
  <si>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</si>
  <si>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</si>
  <si>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</si>
  <si>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</si>
  <si>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</si>
  <si>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</si>
  <si>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</si>
  <si>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</si>
  <si>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</si>
  <si>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</si>
  <si>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</si>
  <si>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</si>
  <si>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</si>
  <si>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</si>
  <si>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</si>
  <si>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</si>
  <si>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</si>
  <si>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</si>
  <si>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</si>
  <si>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</si>
  <si>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</si>
  <si>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</si>
  <si>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</si>
  <si>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</si>
  <si>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</si>
  <si>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</si>
  <si>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</si>
  <si>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</si>
  <si>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</si>
  <si>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</si>
  <si>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</si>
  <si>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</si>
  <si>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</si>
  <si>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</si>
  <si>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</si>
  <si>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</si>
  <si>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</si>
  <si>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</si>
  <si>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</si>
  <si>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</si>
  <si>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</si>
  <si>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</si>
  <si>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</si>
  <si>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</si>
  <si>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</si>
  <si>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</si>
  <si>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</si>
  <si>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</si>
  <si>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</si>
  <si>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</si>
  <si>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</si>
  <si>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</si>
  <si>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</si>
  <si>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</si>
  <si>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</si>
  <si>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</si>
  <si>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</si>
  <si>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</si>
  <si>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</si>
  <si>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</si>
  <si>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</si>
  <si>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</si>
  <si>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</si>
  <si>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</si>
  <si>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</si>
  <si>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</si>
  <si>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</si>
  <si>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</si>
  <si>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</si>
  <si>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</si>
  <si>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</si>
  <si>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</si>
  <si>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</si>
  <si>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</si>
  <si>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</si>
  <si>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</si>
  <si>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</si>
  <si>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</si>
  <si>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</si>
  <si>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</si>
  <si>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</si>
  <si>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</si>
  <si>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</si>
  <si>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</si>
  <si>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</si>
  <si>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</si>
  <si>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</si>
  <si>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</si>
  <si>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</si>
  <si>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</si>
  <si>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</si>
  <si>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</si>
  <si>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</si>
  <si>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</si>
  <si>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</si>
  <si>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</si>
  <si>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</si>
  <si>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</si>
  <si>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</si>
  <si>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</si>
  <si>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</si>
  <si>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</si>
  <si>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</si>
  <si>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</si>
  <si>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</si>
  <si>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</si>
  <si>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</si>
  <si>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</si>
  <si>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</si>
  <si>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</si>
  <si>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</si>
  <si>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</si>
  <si>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</si>
  <si>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</si>
  <si>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</si>
  <si>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</si>
  <si>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</si>
  <si>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</si>
  <si>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</si>
  <si>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</si>
  <si>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</si>
  <si>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</si>
  <si>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</si>
  <si>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</si>
  <si>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</si>
  <si>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</si>
  <si>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</si>
  <si>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</si>
  <si>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</si>
  <si>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</si>
  <si>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</si>
  <si>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</si>
  <si>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</si>
  <si>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</si>
  <si>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</si>
  <si>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</si>
  <si>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</si>
  <si>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</si>
  <si>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</si>
  <si>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</si>
  <si>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</si>
  <si>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</si>
  <si>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</si>
  <si>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</si>
  <si>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</si>
  <si>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</si>
  <si>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</si>
  <si>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</si>
  <si>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</si>
  <si>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</si>
  <si>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</si>
  <si>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</si>
  <si>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</si>
  <si>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</si>
  <si>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</si>
  <si>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</si>
  <si>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</si>
  <si>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</si>
  <si>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</si>
  <si>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</si>
  <si>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</si>
  <si>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</si>
  <si>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</si>
  <si>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</si>
  <si>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</si>
  <si>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</si>
  <si>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</si>
  <si>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</si>
  <si>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</si>
  <si>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</si>
  <si>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</si>
  <si>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</si>
  <si>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</si>
  <si>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</si>
  <si>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</si>
  <si>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</si>
  <si>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</si>
  <si>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</si>
  <si>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</si>
  <si>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</si>
  <si>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</si>
  <si>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</si>
  <si>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</si>
  <si>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</si>
  <si>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</si>
  <si>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</si>
  <si>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</si>
  <si>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</si>
  <si>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</si>
  <si>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</si>
  <si>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</si>
  <si>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</si>
  <si>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</si>
  <si>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</si>
  <si>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</si>
  <si>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</si>
  <si>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BENTO GONÇALVES/RS</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</si>
  <si>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</si>
  <si>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</si>
  <si>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</si>
  <si>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PM BENTO</t>
  </si>
  <si>
    <t>01</t>
  </si>
  <si>
    <t>03</t>
  </si>
  <si>
    <t>04</t>
  </si>
  <si>
    <t>05</t>
  </si>
  <si>
    <t>06</t>
  </si>
  <si>
    <t xml:space="preserve">Encargos Sociais SEM DESONERAÇÃO:HORISTA 111,10% / MENSALISTA 69,16%.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 </t>
  </si>
  <si>
    <t>02</t>
  </si>
  <si>
    <t>SEGIMU</t>
  </si>
  <si>
    <t>VER REQ. COMP.</t>
  </si>
  <si>
    <t>SERVIÇOS COMUNS DE ENGENHARIA P/ MANUTNEÇÃO ABRIGOS PASSAGEIROS ONIBUS TAXI</t>
  </si>
  <si>
    <t>PERIMETRO URBANO E RURAL DO MUNICIPIO</t>
  </si>
  <si>
    <t>MANUTENÇÃO ABRIGO PASSAGEIROS ÔNIBUS E TÁXI</t>
  </si>
  <si>
    <t>REGISTRO DE PREÇO MANUTENÇÃO</t>
  </si>
  <si>
    <t>07</t>
  </si>
  <si>
    <t>08</t>
  </si>
  <si>
    <t>09</t>
  </si>
  <si>
    <t>10</t>
  </si>
  <si>
    <t>11</t>
  </si>
  <si>
    <t>12</t>
  </si>
  <si>
    <t>13</t>
  </si>
  <si>
    <t>14</t>
  </si>
  <si>
    <t>15</t>
  </si>
  <si>
    <t>16</t>
  </si>
  <si>
    <t>17</t>
  </si>
  <si>
    <t>Lote 01  - Manutenção e Reparos Abrigos Passagerios Onibus e Táxi</t>
  </si>
  <si>
    <t>LOTE 01 - REGISTRO DE PREÇO PARA MANUTENÇÃO ABRIGO PASSAGEIROS ÔNIBUS E TÁXI</t>
  </si>
  <si>
    <t>ANEXO I TR - MANUTENÇÃO ABRIGO PASSAGEIROS ÔNIBUS E TÁXI</t>
  </si>
  <si>
    <t>18</t>
  </si>
  <si>
    <t>Isolamento de segurança do local, incluso insumos, equipamentos e pessoal necessário.</t>
  </si>
  <si>
    <t>Retirada ou Desmontagem de cobertura de policarbonato alveolar, incluso insumos, equipamentos e pessoal necessário.</t>
  </si>
  <si>
    <t>Retirada ou Desmonstagem de chapas de policarbonato compacto ou acrilico,  incluso insumos, equipamentos e pessoal necessário.</t>
  </si>
  <si>
    <t>Retirada da Estrutura Metálica dos Abrigos (todos os tipos) com guindauto e transporte até as dependencias da empresa, local da execução dos reparos e manutenções, incluso: insumos, pessoal e equipamntos necessários.</t>
  </si>
  <si>
    <t>Transporte, carga, descarga p/ destinação de residuos até o local da reciclagem.</t>
  </si>
  <si>
    <t>Instalação da Estrutura dos Abrigos (todos os tipos) com guindauto e transporte até o local de reinstalação dos abrigos, incluso: insumos, pessoal e equipamntos necessários.</t>
  </si>
  <si>
    <t>Reparos e manutenção em estrutura metálica dos abrigos, incluso todos os insumos, materias, equipamentos e pessaol necessário.</t>
  </si>
  <si>
    <t>Pintura Pulverizada com esmalte sintético da estrutura metálica nas dependencias da empresa (local de pintura próprio),  incluso insumos, equipamentos e pessoal necessário.</t>
  </si>
  <si>
    <t>Pintura Manual com esmalte sintético da estrutura metálica no local, incluso insumos, equipamentos e pessoal necessário.</t>
  </si>
  <si>
    <t>Fornecimento e instalação de cobertura de policarbonato alveolar 10mm fume c/ proteção UV, incluso perfis de aluminio, emendas e acabamentos, perfil H PC, parafusos, fitas e silicone de vedação, insumos, equipamentos e pessoal necessário.</t>
  </si>
  <si>
    <t>Fornecimento e instalação de chapa de policarbonato compacto 4mm cristal, incluso parafusos,  incluso insumos, equipamentos e pessoal necessário.</t>
  </si>
  <si>
    <t>Fornecimento e instalação de madeira aparelhada e boleada para assento de usuários c/ espessura 25mm, largura 250mm e comprimento variável, incluso parafusos, insumos, equipamentos e pessoal necessário.</t>
  </si>
  <si>
    <t>Pintura Manual com verniz de poliuretano (3 demãos) da madeira para assento dos usuários,  incluso insumos, equipamentos e pessoal necessário.</t>
  </si>
  <si>
    <t>Reparo de arranque de pilar com Graute Fck 25Mpa com adição de 50% de brita 0, incluso equipamentos, insumos, forma de madeira e pessoal necessário.</t>
  </si>
  <si>
    <t>Demolição de concreto de arranque de pilar com patologia, incluso equipamentos, insumos e pessoal necessário.</t>
  </si>
  <si>
    <t>Chumbamento com chumbador de aço parabolt D 5/8" X 200mm c/ porca, arruela e chumbador químico, incluso: equipamentos, insumos e pessoal necessário.</t>
  </si>
  <si>
    <t>Fornecimento e instalção de armadura de reposição de arranque de pilar com chumbamento quimico, bitolas variadas, c/ armadura, chumbador quimico, incluso: equipamentos, insumos e pessoal necessário. (média de uso 15 kg por arranque de pilar)</t>
  </si>
  <si>
    <t>Fornecimento e instalação de cobertura de policarbonato alveolar 6mm fume c/ proteção UV, incluso perfis de aluminio, emendas e acabamentos, perfil H PC, parafusos, fitas e silicone de vedação, insumos, equipamentos e pessoal necessário.</t>
  </si>
  <si>
    <t>un</t>
  </si>
  <si>
    <t>m²</t>
  </si>
  <si>
    <t xml:space="preserve">un </t>
  </si>
  <si>
    <t>kg</t>
  </si>
  <si>
    <t>m</t>
  </si>
  <si>
    <t>m³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</si>
</sst>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1">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7"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10" fontId="1" fillId="0" borderId="0" xfId="76"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71"/>
    <xf numFmtId="0" fontId="22" fillId="0" borderId="0" xfId="71" applyFont="1" applyAlignment="1">
      <alignment horizontal="center"/>
    </xf>
    <xf numFmtId="0" fontId="22" fillId="0" borderId="14" xfId="71" applyFont="1" applyBorder="1" applyAlignment="1">
      <alignment horizontal="center"/>
    </xf>
    <xf numFmtId="10" fontId="31" fillId="0" borderId="14" xfId="71" applyNumberFormat="1" applyFont="1" applyBorder="1" applyAlignment="1">
      <alignment horizontal="center"/>
    </xf>
    <xf numFmtId="0" fontId="21" fillId="0" borderId="0" xfId="71" applyFont="1" applyAlignment="1">
      <alignment horizontal="center"/>
    </xf>
    <xf numFmtId="0" fontId="32" fillId="0" borderId="0" xfId="71" applyFont="1"/>
    <xf numFmtId="0" fontId="22" fillId="0" borderId="0" xfId="71" applyFont="1"/>
    <xf numFmtId="0" fontId="22" fillId="0" borderId="14" xfId="71" applyFont="1" applyBorder="1" applyAlignment="1">
      <alignment horizontal="center" vertical="center" wrapText="1"/>
    </xf>
    <xf numFmtId="0" fontId="30" fillId="0" borderId="14" xfId="71" applyFont="1" applyBorder="1" applyAlignment="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wrapText="1"/>
    </xf>
    <xf numFmtId="0" fontId="30" fillId="0" borderId="14" xfId="71" applyFont="1" applyBorder="1" applyAlignment="1">
      <alignment horizontal="center" vertical="center" wrapText="1"/>
    </xf>
    <xf numFmtId="0" fontId="39" fillId="0" borderId="0" xfId="71" applyFont="1" applyAlignment="1">
      <alignment horizontal="center" vertical="center" wrapText="1"/>
    </xf>
    <xf numFmtId="10" fontId="39" fillId="0" borderId="0" xfId="71" applyNumberFormat="1" applyFont="1" applyAlignment="1">
      <alignment horizontal="center" vertical="center"/>
    </xf>
    <xf numFmtId="170" fontId="1" fillId="0" borderId="0" xfId="71" applyNumberFormat="1"/>
    <xf numFmtId="0" fontId="30" fillId="0" borderId="0" xfId="71" applyFont="1"/>
    <xf numFmtId="0" fontId="30" fillId="0" borderId="0" xfId="71" applyFont="1" applyAlignment="1">
      <alignment vertical="top"/>
    </xf>
    <xf numFmtId="0" fontId="34" fillId="0" borderId="0" xfId="71"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lignment vertical="top"/>
    </xf>
    <xf numFmtId="0" fontId="22" fillId="0" borderId="15" xfId="72" applyFont="1" applyBorder="1" applyAlignment="1">
      <alignment horizontal="center" vertical="top"/>
    </xf>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Font="1" applyFill="1" applyBorder="1" applyAlignment="1" applyProtection="1">
      <alignment horizontal="center" vertical="center" shrinkToFit="1"/>
    </xf>
    <xf numFmtId="164" fontId="1" fillId="0" borderId="20" xfId="87" applyFont="1" applyFill="1" applyBorder="1" applyAlignment="1">
      <alignment horizontal="center" vertical="center" shrinkToFit="1"/>
    </xf>
    <xf numFmtId="0" fontId="21" fillId="0" borderId="0" xfId="0" applyFont="1" applyAlignment="1">
      <alignment horizontal="left" vertical="center"/>
    </xf>
    <xf numFmtId="0" fontId="1" fillId="0" borderId="0" xfId="71" applyAlignment="1">
      <alignment horizontal="center" vertical="top"/>
    </xf>
    <xf numFmtId="0" fontId="38" fillId="0" borderId="0" xfId="72"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71" applyNumberFormat="1" applyFont="1" applyBorder="1" applyAlignment="1">
      <alignment horizontal="center" vertical="center" wrapText="1"/>
    </xf>
    <xf numFmtId="0" fontId="46" fillId="0" borderId="0" xfId="71" applyFont="1" applyAlignment="1">
      <alignment wrapText="1"/>
    </xf>
    <xf numFmtId="0" fontId="47" fillId="0" borderId="0" xfId="71" applyFont="1" applyAlignment="1">
      <alignment vertical="top" wrapText="1"/>
    </xf>
    <xf numFmtId="0" fontId="44" fillId="0" borderId="14" xfId="71" applyFont="1" applyBorder="1" applyAlignment="1">
      <alignment horizontal="center" vertical="center"/>
    </xf>
    <xf numFmtId="4" fontId="26" fillId="0" borderId="0" xfId="71" applyNumberFormat="1" applyFont="1" applyAlignment="1">
      <alignment horizontal="center" vertical="center" wrapText="1"/>
    </xf>
    <xf numFmtId="0" fontId="1" fillId="0" borderId="0" xfId="71"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lignment horizontal="left"/>
    </xf>
    <xf numFmtId="0" fontId="1" fillId="0" borderId="17" xfId="71"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Font="1" applyFill="1" applyBorder="1" applyAlignment="1" applyProtection="1">
      <alignment vertical="center" shrinkToFit="1"/>
      <protection locked="0"/>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Alignment="1">
      <alignment horizontal="left" wrapText="1" indent="2"/>
    </xf>
    <xf numFmtId="0" fontId="0" fillId="0" borderId="0" xfId="0" applyAlignment="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Alignment="1">
      <alignment horizontal="left" wrapText="1" indent="3"/>
    </xf>
    <xf numFmtId="0" fontId="0" fillId="0" borderId="0" xfId="0" applyAlignment="1">
      <alignment horizontal="left" indent="3"/>
    </xf>
    <xf numFmtId="0" fontId="1" fillId="0" borderId="18" xfId="0" applyFont="1" applyBorder="1" applyAlignment="1">
      <alignment horizontal="left" vertical="top" wrapText="1"/>
    </xf>
    <xf numFmtId="0" fontId="1" fillId="0" borderId="38" xfId="0" applyFont="1" applyBorder="1" applyAlignment="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Border="1" applyAlignment="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38" fillId="0" borderId="11" xfId="72" applyFont="1" applyBorder="1" applyAlignment="1">
      <alignment horizontal="left" vertical="top"/>
    </xf>
    <xf numFmtId="0" fontId="38" fillId="0" borderId="12" xfId="72" applyFont="1" applyBorder="1" applyAlignment="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Alignment="1" applyProtection="1">
      <alignment horizontal="left"/>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22" fillId="0" borderId="0" xfId="0" applyFont="1" applyAlignment="1">
      <alignment horizontal="left" wrapText="1" indent="1"/>
    </xf>
    <xf numFmtId="0" fontId="22" fillId="0" borderId="0" xfId="0" applyFont="1" applyAlignment="1">
      <alignment horizontal="left" indent="1"/>
    </xf>
    <xf numFmtId="0" fontId="51" fillId="29" borderId="0" xfId="0" applyFont="1" applyFill="1" applyAlignment="1">
      <alignment horizontal="left" vertical="top" wrapText="1" indent="2"/>
    </xf>
    <xf numFmtId="0" fontId="51" fillId="29" borderId="0" xfId="0" applyFont="1" applyFill="1" applyAlignment="1">
      <alignment horizontal="left" vertical="top" indent="2"/>
    </xf>
    <xf numFmtId="49" fontId="1" fillId="25" borderId="0" xfId="0" applyNumberFormat="1" applyFont="1" applyFill="1" applyAlignment="1" applyProtection="1">
      <alignment horizontal="left"/>
      <protection locked="0"/>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0" fontId="22" fillId="0" borderId="40" xfId="0" applyFont="1" applyBorder="1" applyAlignment="1">
      <alignment horizontal="left" wrapText="1"/>
    </xf>
    <xf numFmtId="0" fontId="22" fillId="0" borderId="0" xfId="0" applyFont="1" applyAlignment="1">
      <alignment horizontal="left" wrapText="1"/>
    </xf>
    <xf numFmtId="49" fontId="1" fillId="0" borderId="0" xfId="71" applyNumberFormat="1" applyAlignment="1" applyProtection="1">
      <alignment horizontal="left"/>
      <protection locked="0"/>
    </xf>
    <xf numFmtId="0" fontId="26" fillId="0" borderId="0" xfId="71" applyFont="1" applyAlignment="1">
      <alignment horizontal="left" vertical="center"/>
    </xf>
    <xf numFmtId="0" fontId="22" fillId="0" borderId="0" xfId="71" applyFont="1" applyAlignment="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Border="1" applyAlignment="1">
      <alignment horizontal="left"/>
    </xf>
    <xf numFmtId="0" fontId="26" fillId="0" borderId="14" xfId="71" applyFont="1" applyBorder="1" applyAlignment="1">
      <alignment horizontal="center" vertical="center"/>
    </xf>
    <xf numFmtId="0" fontId="2" fillId="0" borderId="14" xfId="71" applyFont="1" applyBorder="1" applyAlignment="1">
      <alignment horizontal="left" wrapText="1"/>
    </xf>
    <xf numFmtId="4" fontId="26" fillId="0" borderId="14" xfId="71" applyNumberFormat="1" applyFont="1" applyBorder="1" applyAlignment="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Border="1" applyAlignment="1">
      <alignment horizontal="center" vertical="top" wrapText="1"/>
    </xf>
    <xf numFmtId="0" fontId="1" fillId="0" borderId="38" xfId="71" applyBorder="1" applyAlignment="1">
      <alignment horizontal="center" vertical="top" wrapText="1"/>
    </xf>
    <xf numFmtId="0" fontId="1" fillId="0" borderId="18" xfId="71" applyBorder="1" applyAlignment="1">
      <alignment horizontal="left" vertical="top" wrapText="1"/>
    </xf>
    <xf numFmtId="0" fontId="1" fillId="0" borderId="38" xfId="71" applyBorder="1" applyAlignment="1">
      <alignment horizontal="left" vertical="top" wrapText="1"/>
    </xf>
    <xf numFmtId="49" fontId="1" fillId="0" borderId="18" xfId="71" applyNumberFormat="1" applyBorder="1" applyAlignment="1">
      <alignment horizontal="left" vertical="top" wrapText="1"/>
    </xf>
    <xf numFmtId="0" fontId="1" fillId="0" borderId="13" xfId="71" applyBorder="1" applyAlignment="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lignment horizontal="center" vertical="top" wrapText="1"/>
    </xf>
    <xf numFmtId="171" fontId="1" fillId="0" borderId="13" xfId="71" applyNumberFormat="1" applyBorder="1" applyAlignment="1">
      <alignment horizontal="left"/>
    </xf>
    <xf numFmtId="0" fontId="1" fillId="0" borderId="14" xfId="71" applyBorder="1" applyAlignment="1">
      <alignment horizontal="left" vertical="center" wrapText="1"/>
    </xf>
    <xf numFmtId="0" fontId="1" fillId="0" borderId="14" xfId="71" applyBorder="1" applyAlignment="1">
      <alignment horizontal="left" vertical="center"/>
    </xf>
    <xf numFmtId="0" fontId="22" fillId="0" borderId="14" xfId="71" applyFont="1" applyBorder="1" applyAlignment="1">
      <alignment horizontal="center" vertical="center"/>
    </xf>
    <xf numFmtId="0" fontId="35" fillId="0" borderId="14" xfId="71" applyFont="1" applyBorder="1" applyAlignment="1">
      <alignment horizontal="center" vertical="center" wrapText="1"/>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71" fontId="1" fillId="0" borderId="0" xfId="71" applyNumberFormat="1" applyAlignment="1">
      <alignment horizontal="left"/>
    </xf>
    <xf numFmtId="0" fontId="45" fillId="0" borderId="0" xfId="71" applyFont="1" applyAlignment="1">
      <alignment horizontal="left" vertical="center" indent="1"/>
    </xf>
    <xf numFmtId="0" fontId="39" fillId="0" borderId="0" xfId="71" applyFont="1" applyAlignment="1">
      <alignment horizontal="left" vertical="center" wrapText="1"/>
    </xf>
    <xf numFmtId="2" fontId="33" fillId="0" borderId="17" xfId="71" applyNumberFormat="1" applyFont="1" applyBorder="1" applyAlignment="1">
      <alignment horizontal="center" vertical="center"/>
    </xf>
    <xf numFmtId="0" fontId="1" fillId="0" borderId="0" xfId="71" applyAlignment="1">
      <alignment horizontal="center" vertical="center"/>
    </xf>
    <xf numFmtId="168" fontId="1" fillId="0" borderId="13" xfId="71" applyNumberFormat="1" applyBorder="1" applyAlignment="1">
      <alignment horizontal="left"/>
    </xf>
    <xf numFmtId="49" fontId="1" fillId="25" borderId="32" xfId="71" applyNumberFormat="1" applyFill="1" applyBorder="1" applyAlignment="1" applyProtection="1">
      <alignment horizontal="left" vertical="top" wrapText="1"/>
      <protection locked="0"/>
    </xf>
    <xf numFmtId="49" fontId="1" fillId="25" borderId="10" xfId="71" applyNumberFormat="1" applyFill="1" applyBorder="1" applyAlignment="1" applyProtection="1">
      <alignment horizontal="left" vertical="top" wrapText="1"/>
      <protection locked="0"/>
    </xf>
    <xf numFmtId="49" fontId="1" fillId="25" borderId="19" xfId="71" applyNumberFormat="1" applyFill="1" applyBorder="1" applyAlignment="1" applyProtection="1">
      <alignment horizontal="left" vertical="top" wrapText="1"/>
      <protection locked="0"/>
    </xf>
    <xf numFmtId="0" fontId="1" fillId="0" borderId="17" xfId="71" applyBorder="1" applyAlignment="1">
      <alignment horizontal="center" vertical="center"/>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170" fontId="1" fillId="0" borderId="13" xfId="0" applyNumberFormat="1" applyFont="1" applyBorder="1" applyAlignment="1">
      <alignment horizontal="left" vertical="center"/>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168" fontId="1" fillId="0" borderId="0" xfId="0" applyNumberFormat="1" applyFont="1" applyAlignment="1">
      <alignment horizontal="left"/>
    </xf>
    <xf numFmtId="0" fontId="49" fillId="0" borderId="0" xfId="0" applyFont="1" applyAlignment="1">
      <alignment horizontal="center" vertical="top"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24" xfId="87"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5" xr:uid="{00000000-0005-0000-0000-000040000000}"/>
    <cellStyle name="Linked Cell" xfId="66" xr:uid="{00000000-0005-0000-0000-000041000000}"/>
    <cellStyle name="Moeda 2" xfId="67" xr:uid="{00000000-0005-0000-0000-000042000000}"/>
    <cellStyle name="Moeda_Composicao BDI v2.1" xfId="68" xr:uid="{00000000-0005-0000-0000-000043000000}"/>
    <cellStyle name="Neutral" xfId="70" xr:uid="{00000000-0005-0000-0000-000045000000}"/>
    <cellStyle name="Neutro" xfId="69" builtinId="28" customBuiltin="1"/>
    <cellStyle name="Normal" xfId="0" builtinId="0"/>
    <cellStyle name="Normal 2" xfId="71" xr:uid="{00000000-0005-0000-0000-000047000000}"/>
    <cellStyle name="Normal_FICHA DE VERIFICAÇÃO PRELIMINAR - Plano R" xfId="72" xr:uid="{00000000-0005-0000-0000-000048000000}"/>
    <cellStyle name="Nota" xfId="73" builtinId="10" customBuiltin="1"/>
    <cellStyle name="Note" xfId="74" xr:uid="{00000000-0005-0000-0000-00004A000000}"/>
    <cellStyle name="Output" xfId="75" xr:uid="{00000000-0005-0000-0000-00004B000000}"/>
    <cellStyle name="Porcentagem" xfId="76" builtinId="5"/>
    <cellStyle name="Ruim" xfId="64" builtinId="27" customBuiltin="1"/>
    <cellStyle name="Saída" xfId="77" builtinId="21" customBuiltin="1"/>
    <cellStyle name="Texto de Aviso" xfId="78" builtinId="11" customBuiltin="1"/>
    <cellStyle name="Texto Explicativo" xfId="79" builtinId="53" customBuiltin="1"/>
    <cellStyle name="Title" xfId="80" xr:uid="{00000000-0005-0000-0000-00005000000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xr:uid="{00000000-0005-0000-0000-000058000000}"/>
  </cellStyles>
  <dxfs count="132">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bottom style="thin">
          <color indexed="64"/>
        </bottom>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4.emf"/><Relationship Id="rId1" Type="http://schemas.openxmlformats.org/officeDocument/2006/relationships/image" Target="../media/image1.emf"/><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9.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1.emf"/><Relationship Id="rId1" Type="http://schemas.openxmlformats.org/officeDocument/2006/relationships/image" Target="../media/image6.emf"/><Relationship Id="rId4"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a16="http://schemas.microsoft.com/office/drawing/2014/main" id="{00000000-0008-0000-0100-0000B4600200}"/>
                </a:ext>
              </a:extLst>
            </xdr:cNvPr>
            <xdr:cNvPicPr>
              <a:picLocks noChangeArrowheads="1"/>
              <a:extLst>
                <a:ext uri="{84589F7E-364E-4C9E-8A38-B11213B215E9}">
                  <a14:cameraTool cellRange="PO!$T$1:$T$2" spid="_x0000_s220332"/>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2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200-000003000000}"/>
            </a:ext>
          </a:extLst>
        </xdr:cNvPr>
        <xdr:cNvSpPr/>
      </xdr:nvSpPr>
      <xdr:spPr>
        <a:xfrm>
          <a:off x="28575" y="19050"/>
          <a:ext cx="1790700" cy="38100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2</xdr:row>
          <xdr:rowOff>9525</xdr:rowOff>
        </xdr:to>
        <xdr:pic>
          <xdr:nvPicPr>
            <xdr:cNvPr id="5" name="SigiloPic">
              <a:extLst>
                <a:ext uri="{FF2B5EF4-FFF2-40B4-BE49-F238E27FC236}">
                  <a16:creationId xmlns:a16="http://schemas.microsoft.com/office/drawing/2014/main" id="{00000000-0008-0000-0200-000005000000}"/>
                </a:ext>
              </a:extLst>
            </xdr:cNvPr>
            <xdr:cNvPicPr>
              <a:picLocks noChangeArrowheads="1"/>
              <a:extLst>
                <a:ext uri="{84589F7E-364E-4C9E-8A38-B11213B215E9}">
                  <a14:cameraTool cellRange="PO!$T$1:$T$2" spid="_x0000_s205384"/>
                </a:ext>
              </a:extLst>
            </xdr:cNvPicPr>
          </xdr:nvPicPr>
          <xdr:blipFill>
            <a:blip xmlns:r="http://schemas.openxmlformats.org/officeDocument/2006/relationships" r:embed="rId2"/>
            <a:srcRect/>
            <a:stretch>
              <a:fillRect/>
            </a:stretch>
          </xdr:blipFill>
          <xdr:spPr bwMode="auto">
            <a:xfrm>
              <a:off x="6172200" y="28575"/>
              <a:ext cx="1047750" cy="3333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3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a16="http://schemas.microsoft.com/office/drawing/2014/main" id="{00000000-0008-0000-0300-00009A050300}"/>
                </a:ext>
              </a:extLst>
            </xdr:cNvPr>
            <xdr:cNvPicPr>
              <a:picLocks noChangeArrowheads="1"/>
              <a:extLst>
                <a:ext uri="{84589F7E-364E-4C9E-8A38-B11213B215E9}">
                  <a14:cameraTool cellRange="DADOS!$A$220:$X$230" spid="_x0000_s216601"/>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42</xdr:row>
          <xdr:rowOff>0</xdr:rowOff>
        </xdr:from>
        <xdr:to>
          <xdr:col>19</xdr:col>
          <xdr:colOff>123825</xdr:colOff>
          <xdr:row>46</xdr:row>
          <xdr:rowOff>142875</xdr:rowOff>
        </xdr:to>
        <xdr:pic>
          <xdr:nvPicPr>
            <xdr:cNvPr id="198043" name="Picture 483">
              <a:extLst>
                <a:ext uri="{FF2B5EF4-FFF2-40B4-BE49-F238E27FC236}">
                  <a16:creationId xmlns:a16="http://schemas.microsoft.com/office/drawing/2014/main" id="{00000000-0008-0000-0300-00009B050300}"/>
                </a:ext>
              </a:extLst>
            </xdr:cNvPr>
            <xdr:cNvPicPr>
              <a:picLocks noChangeArrowheads="1"/>
              <a:extLst>
                <a:ext uri="{84589F7E-364E-4C9E-8A38-B11213B215E9}">
                  <a14:cameraTool cellRange="DADOS!$A$53:$K$57" spid="_x0000_s216602"/>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4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4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a16="http://schemas.microsoft.com/office/drawing/2014/main" id="{00000000-0008-0000-0400-0000C57E0000}"/>
                </a:ext>
              </a:extLst>
            </xdr:cNvPr>
            <xdr:cNvPicPr>
              <a:picLocks noChangeArrowheads="1"/>
              <a:extLst>
                <a:ext uri="{84589F7E-364E-4C9E-8A38-B11213B215E9}">
                  <a14:cameraTool cellRange="DADOS!$A$220:$X$230" spid="_x0000_s228417"/>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a16="http://schemas.microsoft.com/office/drawing/2014/main" id="{00000000-0008-0000-0400-0000C67E0000}"/>
                </a:ext>
              </a:extLst>
            </xdr:cNvPr>
            <xdr:cNvPicPr>
              <a:picLocks noChangeArrowheads="1"/>
              <a:extLst>
                <a:ext uri="{84589F7E-364E-4C9E-8A38-B11213B215E9}">
                  <a14:cameraTool cellRange="DADOS!$A$220:$X$230" spid="_x0000_s228418"/>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33</xdr:row>
          <xdr:rowOff>9525</xdr:rowOff>
        </xdr:from>
        <xdr:to>
          <xdr:col>14</xdr:col>
          <xdr:colOff>28575</xdr:colOff>
          <xdr:row>37</xdr:row>
          <xdr:rowOff>152400</xdr:rowOff>
        </xdr:to>
        <xdr:pic>
          <xdr:nvPicPr>
            <xdr:cNvPr id="32455" name="Picture 483">
              <a:extLst>
                <a:ext uri="{FF2B5EF4-FFF2-40B4-BE49-F238E27FC236}">
                  <a16:creationId xmlns:a16="http://schemas.microsoft.com/office/drawing/2014/main" id="{00000000-0008-0000-0400-0000C77E0000}"/>
                </a:ext>
              </a:extLst>
            </xdr:cNvPr>
            <xdr:cNvPicPr>
              <a:picLocks noChangeArrowheads="1"/>
              <a:extLst>
                <a:ext uri="{84589F7E-364E-4C9E-8A38-B11213B215E9}">
                  <a14:cameraTool cellRange="DADOS!$A$53:$K$57" spid="_x0000_s228419"/>
                </a:ext>
              </a:extLst>
            </xdr:cNvPicPr>
          </xdr:nvPicPr>
          <xdr:blipFill>
            <a:blip xmlns:r="http://schemas.openxmlformats.org/officeDocument/2006/relationships" r:embed="rId3"/>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a16="http://schemas.microsoft.com/office/drawing/2014/main" id="{00000000-0008-0000-0400-0000C87E0000}"/>
                </a:ext>
              </a:extLst>
            </xdr:cNvPr>
            <xdr:cNvPicPr>
              <a:picLocks noChangeArrowheads="1"/>
              <a:extLst>
                <a:ext uri="{84589F7E-364E-4C9E-8A38-B11213B215E9}">
                  <a14:cameraTool cellRange="PO!$T$1:$T$2" spid="_x0000_s228420"/>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5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5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a16="http://schemas.microsoft.com/office/drawing/2014/main" id="{00000000-0008-0000-0500-0000AF150300}"/>
                </a:ext>
              </a:extLst>
            </xdr:cNvPr>
            <xdr:cNvPicPr>
              <a:picLocks noChangeArrowheads="1"/>
              <a:extLst>
                <a:ext uri="{84589F7E-364E-4C9E-8A38-B11213B215E9}">
                  <a14:cameraTool cellRange="DADOS!$A$220:$X$230" spid="_x0000_s227665"/>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a16="http://schemas.microsoft.com/office/drawing/2014/main" id="{00000000-0008-0000-0500-0000B0150300}"/>
                </a:ext>
              </a:extLst>
            </xdr:cNvPr>
            <xdr:cNvPicPr>
              <a:picLocks noChangeArrowheads="1"/>
              <a:extLst>
                <a:ext uri="{84589F7E-364E-4C9E-8A38-B11213B215E9}">
                  <a14:cameraTool cellRange="DADOS!$A$220:$X$230" spid="_x0000_s227666"/>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22</xdr:row>
          <xdr:rowOff>0</xdr:rowOff>
        </xdr:from>
        <xdr:to>
          <xdr:col>22</xdr:col>
          <xdr:colOff>28575</xdr:colOff>
          <xdr:row>26</xdr:row>
          <xdr:rowOff>142875</xdr:rowOff>
        </xdr:to>
        <xdr:pic>
          <xdr:nvPicPr>
            <xdr:cNvPr id="202161" name="Picture 483">
              <a:extLst>
                <a:ext uri="{FF2B5EF4-FFF2-40B4-BE49-F238E27FC236}">
                  <a16:creationId xmlns:a16="http://schemas.microsoft.com/office/drawing/2014/main" id="{00000000-0008-0000-0500-0000B1150300}"/>
                </a:ext>
              </a:extLst>
            </xdr:cNvPr>
            <xdr:cNvPicPr>
              <a:picLocks noChangeArrowheads="1"/>
              <a:extLst>
                <a:ext uri="{84589F7E-364E-4C9E-8A38-B11213B215E9}">
                  <a14:cameraTool cellRange="DADOS!$A$53:$K$57" spid="_x0000_s227667"/>
                </a:ext>
              </a:extLst>
            </xdr:cNvPicPr>
          </xdr:nvPicPr>
          <xdr:blipFill>
            <a:blip xmlns:r="http://schemas.openxmlformats.org/officeDocument/2006/relationships" r:embed="rId3"/>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a16="http://schemas.microsoft.com/office/drawing/2014/main" id="{00000000-0008-0000-0500-0000B2150300}"/>
                </a:ext>
              </a:extLst>
            </xdr:cNvPr>
            <xdr:cNvPicPr>
              <a:picLocks noChangeArrowheads="1"/>
              <a:extLst>
                <a:ext uri="{84589F7E-364E-4C9E-8A38-B11213B215E9}">
                  <a14:cameraTool cellRange="PO!$T$1:$T$2" spid="_x0000_s227668"/>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22</xdr:row>
          <xdr:rowOff>0</xdr:rowOff>
        </xdr:from>
        <xdr:to>
          <xdr:col>31</xdr:col>
          <xdr:colOff>0</xdr:colOff>
          <xdr:row>26</xdr:row>
          <xdr:rowOff>142875</xdr:rowOff>
        </xdr:to>
        <xdr:pic>
          <xdr:nvPicPr>
            <xdr:cNvPr id="202163" name="Picture 2483">
              <a:extLst>
                <a:ext uri="{FF2B5EF4-FFF2-40B4-BE49-F238E27FC236}">
                  <a16:creationId xmlns:a16="http://schemas.microsoft.com/office/drawing/2014/main" id="{00000000-0008-0000-0500-0000B3150300}"/>
                </a:ext>
              </a:extLst>
            </xdr:cNvPr>
            <xdr:cNvPicPr>
              <a:picLocks noChangeArrowheads="1"/>
              <a:extLst>
                <a:ext uri="{84589F7E-364E-4C9E-8A38-B11213B215E9}">
                  <a14:cameraTool cellRange="DADOS!$A$53:$K$57" spid="_x0000_s227669"/>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64" name="Picture 2484">
              <a:extLst>
                <a:ext uri="{FF2B5EF4-FFF2-40B4-BE49-F238E27FC236}">
                  <a16:creationId xmlns:a16="http://schemas.microsoft.com/office/drawing/2014/main" id="{00000000-0008-0000-0500-0000B4150300}"/>
                </a:ext>
              </a:extLst>
            </xdr:cNvPr>
            <xdr:cNvPicPr>
              <a:picLocks noChangeArrowheads="1"/>
              <a:extLst>
                <a:ext uri="{84589F7E-364E-4C9E-8A38-B11213B215E9}">
                  <a14:cameraTool cellRange="PO!$T$1:$T$2" spid="_x0000_s22767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22</xdr:row>
          <xdr:rowOff>0</xdr:rowOff>
        </xdr:from>
        <xdr:to>
          <xdr:col>31</xdr:col>
          <xdr:colOff>0</xdr:colOff>
          <xdr:row>26</xdr:row>
          <xdr:rowOff>142875</xdr:rowOff>
        </xdr:to>
        <xdr:pic>
          <xdr:nvPicPr>
            <xdr:cNvPr id="202165" name="Picture 2485">
              <a:extLst>
                <a:ext uri="{FF2B5EF4-FFF2-40B4-BE49-F238E27FC236}">
                  <a16:creationId xmlns:a16="http://schemas.microsoft.com/office/drawing/2014/main" id="{00000000-0008-0000-0500-0000B5150300}"/>
                </a:ext>
              </a:extLst>
            </xdr:cNvPr>
            <xdr:cNvPicPr>
              <a:picLocks noChangeArrowheads="1"/>
              <a:extLst>
                <a:ext uri="{84589F7E-364E-4C9E-8A38-B11213B215E9}">
                  <a14:cameraTool cellRange="DADOS!$A$53:$K$57" spid="_x0000_s227671"/>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66" name="Picture 2486">
              <a:extLst>
                <a:ext uri="{FF2B5EF4-FFF2-40B4-BE49-F238E27FC236}">
                  <a16:creationId xmlns:a16="http://schemas.microsoft.com/office/drawing/2014/main" id="{00000000-0008-0000-0500-0000B6150300}"/>
                </a:ext>
              </a:extLst>
            </xdr:cNvPr>
            <xdr:cNvPicPr>
              <a:picLocks noChangeArrowheads="1"/>
              <a:extLst>
                <a:ext uri="{84589F7E-364E-4C9E-8A38-B11213B215E9}">
                  <a14:cameraTool cellRange="PO!$T$1:$T$2" spid="_x0000_s22767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22</xdr:row>
          <xdr:rowOff>0</xdr:rowOff>
        </xdr:from>
        <xdr:to>
          <xdr:col>31</xdr:col>
          <xdr:colOff>0</xdr:colOff>
          <xdr:row>26</xdr:row>
          <xdr:rowOff>142875</xdr:rowOff>
        </xdr:to>
        <xdr:pic>
          <xdr:nvPicPr>
            <xdr:cNvPr id="202167" name="Picture 2487">
              <a:extLst>
                <a:ext uri="{FF2B5EF4-FFF2-40B4-BE49-F238E27FC236}">
                  <a16:creationId xmlns:a16="http://schemas.microsoft.com/office/drawing/2014/main" id="{00000000-0008-0000-0500-0000B7150300}"/>
                </a:ext>
              </a:extLst>
            </xdr:cNvPr>
            <xdr:cNvPicPr>
              <a:picLocks noChangeArrowheads="1"/>
              <a:extLst>
                <a:ext uri="{84589F7E-364E-4C9E-8A38-B11213B215E9}">
                  <a14:cameraTool cellRange="DADOS!$A$53:$K$57" spid="_x0000_s227673"/>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68" name="Picture 2488">
              <a:extLst>
                <a:ext uri="{FF2B5EF4-FFF2-40B4-BE49-F238E27FC236}">
                  <a16:creationId xmlns:a16="http://schemas.microsoft.com/office/drawing/2014/main" id="{00000000-0008-0000-0500-0000B8150300}"/>
                </a:ext>
              </a:extLst>
            </xdr:cNvPr>
            <xdr:cNvPicPr>
              <a:picLocks noChangeArrowheads="1"/>
              <a:extLst>
                <a:ext uri="{84589F7E-364E-4C9E-8A38-B11213B215E9}">
                  <a14:cameraTool cellRange="PO!$T$1:$T$2" spid="_x0000_s22767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22</xdr:row>
          <xdr:rowOff>0</xdr:rowOff>
        </xdr:from>
        <xdr:to>
          <xdr:col>31</xdr:col>
          <xdr:colOff>0</xdr:colOff>
          <xdr:row>26</xdr:row>
          <xdr:rowOff>142875</xdr:rowOff>
        </xdr:to>
        <xdr:pic>
          <xdr:nvPicPr>
            <xdr:cNvPr id="202169" name="Picture 2489">
              <a:extLst>
                <a:ext uri="{FF2B5EF4-FFF2-40B4-BE49-F238E27FC236}">
                  <a16:creationId xmlns:a16="http://schemas.microsoft.com/office/drawing/2014/main" id="{00000000-0008-0000-0500-0000B9150300}"/>
                </a:ext>
              </a:extLst>
            </xdr:cNvPr>
            <xdr:cNvPicPr>
              <a:picLocks noChangeArrowheads="1"/>
              <a:extLst>
                <a:ext uri="{84589F7E-364E-4C9E-8A38-B11213B215E9}">
                  <a14:cameraTool cellRange="DADOS!$A$53:$K$57" spid="_x0000_s227675"/>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70" name="Picture 2490">
              <a:extLst>
                <a:ext uri="{FF2B5EF4-FFF2-40B4-BE49-F238E27FC236}">
                  <a16:creationId xmlns:a16="http://schemas.microsoft.com/office/drawing/2014/main" id="{00000000-0008-0000-0500-0000BA150300}"/>
                </a:ext>
              </a:extLst>
            </xdr:cNvPr>
            <xdr:cNvPicPr>
              <a:picLocks noChangeArrowheads="1"/>
              <a:extLst>
                <a:ext uri="{84589F7E-364E-4C9E-8A38-B11213B215E9}">
                  <a14:cameraTool cellRange="PO!$T$1:$T$2" spid="_x0000_s22767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22</xdr:row>
          <xdr:rowOff>0</xdr:rowOff>
        </xdr:from>
        <xdr:to>
          <xdr:col>31</xdr:col>
          <xdr:colOff>0</xdr:colOff>
          <xdr:row>26</xdr:row>
          <xdr:rowOff>142875</xdr:rowOff>
        </xdr:to>
        <xdr:pic>
          <xdr:nvPicPr>
            <xdr:cNvPr id="202171" name="Picture 2491">
              <a:extLst>
                <a:ext uri="{FF2B5EF4-FFF2-40B4-BE49-F238E27FC236}">
                  <a16:creationId xmlns:a16="http://schemas.microsoft.com/office/drawing/2014/main" id="{00000000-0008-0000-0500-0000BB150300}"/>
                </a:ext>
              </a:extLst>
            </xdr:cNvPr>
            <xdr:cNvPicPr>
              <a:picLocks noChangeArrowheads="1"/>
              <a:extLst>
                <a:ext uri="{84589F7E-364E-4C9E-8A38-B11213B215E9}">
                  <a14:cameraTool cellRange="DADOS!$A$53:$K$57" spid="_x0000_s227677"/>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72" name="Picture 2492">
              <a:extLst>
                <a:ext uri="{FF2B5EF4-FFF2-40B4-BE49-F238E27FC236}">
                  <a16:creationId xmlns:a16="http://schemas.microsoft.com/office/drawing/2014/main" id="{00000000-0008-0000-0500-0000BC150300}"/>
                </a:ext>
              </a:extLst>
            </xdr:cNvPr>
            <xdr:cNvPicPr>
              <a:picLocks noChangeArrowheads="1"/>
              <a:extLst>
                <a:ext uri="{84589F7E-364E-4C9E-8A38-B11213B215E9}">
                  <a14:cameraTool cellRange="PO!$T$1:$T$2" spid="_x0000_s22767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971550</xdr:colOff>
          <xdr:row>22</xdr:row>
          <xdr:rowOff>0</xdr:rowOff>
        </xdr:from>
        <xdr:to>
          <xdr:col>30</xdr:col>
          <xdr:colOff>28575</xdr:colOff>
          <xdr:row>26</xdr:row>
          <xdr:rowOff>142875</xdr:rowOff>
        </xdr:to>
        <xdr:pic>
          <xdr:nvPicPr>
            <xdr:cNvPr id="22" name="Picture 483">
              <a:extLst>
                <a:ext uri="{FF2B5EF4-FFF2-40B4-BE49-F238E27FC236}">
                  <a16:creationId xmlns:a16="http://schemas.microsoft.com/office/drawing/2014/main" id="{00000000-0008-0000-0500-000016000000}"/>
                </a:ext>
              </a:extLst>
            </xdr:cNvPr>
            <xdr:cNvPicPr>
              <a:picLocks noChangeArrowheads="1"/>
              <a:extLst>
                <a:ext uri="{84589F7E-364E-4C9E-8A38-B11213B215E9}">
                  <a14:cameraTool cellRange="DADOS!$A$53:$K$57" spid="_x0000_s227679"/>
                </a:ext>
              </a:extLst>
            </xdr:cNvPicPr>
          </xdr:nvPicPr>
          <xdr:blipFill>
            <a:blip xmlns:r="http://schemas.openxmlformats.org/officeDocument/2006/relationships" r:embed="rId5"/>
            <a:srcRect/>
            <a:stretch>
              <a:fillRect/>
            </a:stretch>
          </xdr:blipFill>
          <xdr:spPr bwMode="auto">
            <a:xfrm>
              <a:off x="6604907" y="5197929"/>
              <a:ext cx="6391275" cy="79601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29</xdr:col>
          <xdr:colOff>914400</xdr:colOff>
          <xdr:row>0</xdr:row>
          <xdr:rowOff>66675</xdr:rowOff>
        </xdr:from>
        <xdr:to>
          <xdr:col>30</xdr:col>
          <xdr:colOff>914400</xdr:colOff>
          <xdr:row>2</xdr:row>
          <xdr:rowOff>73479</xdr:rowOff>
        </xdr:to>
        <xdr:pic>
          <xdr:nvPicPr>
            <xdr:cNvPr id="23" name="SigiloPic">
              <a:extLst>
                <a:ext uri="{FF2B5EF4-FFF2-40B4-BE49-F238E27FC236}">
                  <a16:creationId xmlns:a16="http://schemas.microsoft.com/office/drawing/2014/main" id="{00000000-0008-0000-0500-000017000000}"/>
                </a:ext>
              </a:extLst>
            </xdr:cNvPr>
            <xdr:cNvPicPr>
              <a:picLocks noChangeArrowheads="1"/>
              <a:extLst>
                <a:ext uri="{84589F7E-364E-4C9E-8A38-B11213B215E9}">
                  <a14:cameraTool cellRange="PO!$T$1:$T$2" spid="_x0000_s227680"/>
                </a:ext>
              </a:extLst>
            </xdr:cNvPicPr>
          </xdr:nvPicPr>
          <xdr:blipFill>
            <a:blip xmlns:r="http://schemas.openxmlformats.org/officeDocument/2006/relationships" r:embed="rId4"/>
            <a:srcRect/>
            <a:stretch>
              <a:fillRect/>
            </a:stretch>
          </xdr:blipFill>
          <xdr:spPr bwMode="auto">
            <a:xfrm>
              <a:off x="21216257" y="66675"/>
              <a:ext cx="1047750" cy="3333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23</xdr:col>
          <xdr:colOff>0</xdr:colOff>
          <xdr:row>3</xdr:row>
          <xdr:rowOff>0</xdr:rowOff>
        </xdr:from>
        <xdr:to>
          <xdr:col>31</xdr:col>
          <xdr:colOff>0</xdr:colOff>
          <xdr:row>6</xdr:row>
          <xdr:rowOff>219075</xdr:rowOff>
        </xdr:to>
        <xdr:pic>
          <xdr:nvPicPr>
            <xdr:cNvPr id="24" name="PIC3">
              <a:extLst>
                <a:ext uri="{FF2B5EF4-FFF2-40B4-BE49-F238E27FC236}">
                  <a16:creationId xmlns:a16="http://schemas.microsoft.com/office/drawing/2014/main" id="{00000000-0008-0000-0500-000018000000}"/>
                </a:ext>
              </a:extLst>
            </xdr:cNvPr>
            <xdr:cNvPicPr>
              <a:picLocks noChangeArrowheads="1"/>
              <a:extLst>
                <a:ext uri="{84589F7E-364E-4C9E-8A38-B11213B215E9}">
                  <a14:cameraTool cellRange="DADOS!$A$220:$X$230" spid="_x0000_s227681"/>
                </a:ext>
              </a:extLst>
            </xdr:cNvPicPr>
          </xdr:nvPicPr>
          <xdr:blipFill>
            <a:blip xmlns:r="http://schemas.openxmlformats.org/officeDocument/2006/relationships" r:embed="rId2"/>
            <a:srcRect l="39473"/>
            <a:stretch>
              <a:fillRect/>
            </a:stretch>
          </xdr:blipFill>
          <xdr:spPr bwMode="auto">
            <a:xfrm>
              <a:off x="14015357" y="489857"/>
              <a:ext cx="8382000" cy="1157968"/>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opLeftCell="A20" zoomScaleSheetLayoutView="100" workbookViewId="0">
      <selection activeCell="C42" sqref="C42:G42"/>
    </sheetView>
  </sheetViews>
  <sheetFormatPr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53" t="s">
        <v>2</v>
      </c>
      <c r="C1" s="253"/>
      <c r="D1" s="253"/>
      <c r="E1" s="253"/>
      <c r="F1" s="253"/>
      <c r="G1" s="253"/>
      <c r="H1" s="253"/>
      <c r="I1" s="253"/>
      <c r="J1" s="253"/>
      <c r="K1" s="253"/>
      <c r="L1" s="253"/>
      <c r="M1" s="253"/>
      <c r="N1" s="253"/>
      <c r="O1" s="253"/>
      <c r="P1" s="253"/>
      <c r="Q1" s="253"/>
      <c r="R1" s="253"/>
      <c r="S1" s="253"/>
      <c r="T1" s="253"/>
      <c r="U1" s="253"/>
      <c r="V1" s="253"/>
      <c r="W1" s="253"/>
      <c r="X1" s="254"/>
    </row>
    <row r="2" spans="1:25" ht="13.5" customHeight="1" x14ac:dyDescent="0.2">
      <c r="A2" s="90" t="s">
        <v>228</v>
      </c>
      <c r="B2" s="255"/>
      <c r="C2" s="255"/>
      <c r="D2" s="255"/>
      <c r="E2" s="255"/>
      <c r="F2" s="255"/>
      <c r="G2" s="255"/>
      <c r="H2" s="255"/>
      <c r="I2" s="255"/>
      <c r="J2" s="255"/>
      <c r="K2" s="255"/>
      <c r="L2" s="255"/>
      <c r="M2" s="255"/>
      <c r="N2" s="255"/>
      <c r="O2" s="255"/>
      <c r="P2" s="255"/>
      <c r="Q2" s="255"/>
      <c r="R2" s="255"/>
      <c r="S2" s="255"/>
      <c r="T2" s="255"/>
      <c r="U2" s="255"/>
      <c r="V2" s="255"/>
      <c r="W2" s="255"/>
      <c r="X2" s="256"/>
    </row>
    <row r="3" spans="1:25" ht="13.5" customHeight="1" x14ac:dyDescent="0.2">
      <c r="A3"/>
      <c r="B3"/>
      <c r="F3"/>
      <c r="G3"/>
      <c r="H3"/>
    </row>
    <row r="4" spans="1:25" ht="12.75" customHeight="1" x14ac:dyDescent="0.2">
      <c r="A4" s="264" t="s">
        <v>168</v>
      </c>
      <c r="B4" s="264"/>
      <c r="C4" s="264"/>
      <c r="D4" s="264"/>
      <c r="E4" s="264"/>
      <c r="F4" s="264"/>
      <c r="G4" s="264"/>
      <c r="H4" s="264"/>
      <c r="I4" s="264"/>
      <c r="J4" s="264"/>
      <c r="K4" s="264"/>
      <c r="L4" s="264"/>
      <c r="M4" s="264"/>
      <c r="N4" s="264"/>
      <c r="O4" s="264"/>
      <c r="P4" s="264"/>
      <c r="Q4" s="264"/>
      <c r="R4" s="264"/>
      <c r="S4" s="264"/>
      <c r="T4" s="264"/>
      <c r="U4" s="264"/>
      <c r="V4" s="264"/>
      <c r="W4" s="264"/>
      <c r="X4" s="264"/>
    </row>
    <row r="6" spans="1:25" s="5" customFormat="1" ht="24.95" customHeight="1" x14ac:dyDescent="0.2">
      <c r="A6" s="265" t="s">
        <v>179</v>
      </c>
      <c r="B6" s="266"/>
      <c r="C6" s="266"/>
      <c r="D6" s="266"/>
      <c r="E6" s="266"/>
      <c r="F6" s="266"/>
      <c r="G6" s="266"/>
      <c r="H6" s="266"/>
      <c r="I6" s="266"/>
      <c r="J6" s="266"/>
      <c r="K6" s="266"/>
      <c r="L6" s="266"/>
      <c r="M6" s="266"/>
      <c r="N6" s="266"/>
      <c r="O6" s="266"/>
      <c r="P6" s="266"/>
      <c r="Q6" s="266"/>
      <c r="R6" s="266"/>
      <c r="S6" s="266"/>
      <c r="T6" s="266"/>
      <c r="U6" s="266"/>
      <c r="V6" s="266"/>
      <c r="W6" s="266"/>
      <c r="X6" s="266"/>
    </row>
    <row r="7" spans="1:25" ht="12.75" customHeight="1" x14ac:dyDescent="0.2"/>
    <row r="8" spans="1:25" ht="12.75" customHeight="1" x14ac:dyDescent="0.2">
      <c r="A8" s="267" t="s">
        <v>23</v>
      </c>
      <c r="B8" s="267"/>
      <c r="C8" s="267"/>
      <c r="D8" s="267"/>
      <c r="E8" s="267"/>
      <c r="F8" s="267"/>
      <c r="G8" s="267"/>
      <c r="H8" s="267"/>
      <c r="I8" s="267"/>
      <c r="J8" s="267"/>
      <c r="K8" s="267"/>
      <c r="L8" s="267"/>
      <c r="M8" s="267"/>
      <c r="N8" s="267"/>
      <c r="O8" s="267"/>
      <c r="P8" s="267"/>
      <c r="Q8" s="267"/>
      <c r="R8" s="267"/>
      <c r="S8" s="267"/>
      <c r="T8" s="267"/>
      <c r="U8" s="267"/>
      <c r="V8" s="267"/>
      <c r="W8" s="267"/>
      <c r="X8" s="267"/>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69" t="s">
        <v>169</v>
      </c>
      <c r="B10" s="269"/>
      <c r="C10" s="269"/>
      <c r="D10" s="269"/>
      <c r="E10" s="269"/>
      <c r="F10" s="269"/>
      <c r="G10" s="269"/>
      <c r="H10" s="269"/>
      <c r="I10" s="269"/>
      <c r="J10" s="269"/>
      <c r="K10" s="269"/>
      <c r="L10" s="269"/>
      <c r="M10" s="269"/>
      <c r="N10" s="269"/>
      <c r="O10" s="269"/>
      <c r="P10" s="269"/>
      <c r="Q10" s="269"/>
      <c r="R10" s="269"/>
      <c r="S10" s="269"/>
      <c r="T10" s="269"/>
      <c r="U10" s="269"/>
      <c r="V10" s="269"/>
      <c r="W10" s="269"/>
      <c r="X10" s="269"/>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69" t="s">
        <v>1</v>
      </c>
      <c r="B12" s="269"/>
      <c r="C12" s="269"/>
      <c r="D12" s="269"/>
      <c r="E12" s="269"/>
      <c r="F12" s="269"/>
      <c r="G12" s="269"/>
      <c r="H12" s="269"/>
      <c r="I12" s="269"/>
      <c r="J12" s="269"/>
      <c r="K12" s="269"/>
      <c r="L12" s="269"/>
      <c r="M12" s="269"/>
      <c r="N12" s="269"/>
      <c r="O12" s="269"/>
      <c r="P12" s="269"/>
      <c r="Q12" s="269"/>
      <c r="R12" s="269"/>
      <c r="S12" s="269"/>
      <c r="T12" s="269"/>
      <c r="U12" s="269"/>
      <c r="V12" s="269"/>
      <c r="W12" s="269"/>
      <c r="X12" s="269"/>
    </row>
    <row r="14" spans="1:25" x14ac:dyDescent="0.2">
      <c r="A14" s="268" t="s">
        <v>24</v>
      </c>
      <c r="B14" s="267"/>
      <c r="C14" s="267"/>
      <c r="D14" s="267"/>
      <c r="E14" s="267"/>
      <c r="F14" s="267"/>
      <c r="G14" s="267"/>
      <c r="H14" s="267"/>
      <c r="I14" s="267"/>
      <c r="J14" s="267"/>
      <c r="K14" s="267"/>
      <c r="L14" s="267"/>
      <c r="M14" s="267"/>
      <c r="N14" s="267"/>
      <c r="O14" s="267"/>
      <c r="P14" s="267"/>
      <c r="Q14" s="267"/>
      <c r="R14" s="267"/>
      <c r="S14" s="267"/>
      <c r="T14" s="267"/>
      <c r="U14" s="267"/>
      <c r="V14" s="267"/>
      <c r="W14" s="267"/>
      <c r="X14" s="267"/>
    </row>
    <row r="16" spans="1:25" x14ac:dyDescent="0.2">
      <c r="A16" s="274" t="s">
        <v>186</v>
      </c>
      <c r="B16" s="275"/>
      <c r="C16" s="275"/>
      <c r="D16" s="275"/>
      <c r="E16" s="275"/>
      <c r="F16" s="275"/>
      <c r="G16" s="275"/>
      <c r="H16" s="275"/>
      <c r="I16" s="275"/>
      <c r="J16" s="275"/>
      <c r="K16" s="275"/>
      <c r="L16" s="275"/>
      <c r="M16" s="275"/>
      <c r="N16" s="275"/>
      <c r="O16" s="275"/>
      <c r="P16" s="275"/>
      <c r="Q16" s="275"/>
      <c r="R16" s="275"/>
      <c r="S16" s="275"/>
      <c r="T16" s="275"/>
      <c r="U16" s="275"/>
      <c r="V16" s="275"/>
      <c r="W16" s="275"/>
      <c r="X16" s="275"/>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48" t="s">
        <v>187</v>
      </c>
      <c r="B18" s="248"/>
      <c r="C18" s="249"/>
      <c r="D18" s="249"/>
      <c r="E18" s="249"/>
      <c r="F18" s="249"/>
      <c r="G18" s="249"/>
      <c r="H18" s="249"/>
      <c r="I18" s="249"/>
      <c r="J18" s="249"/>
      <c r="K18" s="249"/>
      <c r="L18" s="249"/>
      <c r="M18" s="249"/>
      <c r="N18" s="249"/>
      <c r="O18" s="249"/>
      <c r="P18" s="249"/>
      <c r="Q18" s="249"/>
      <c r="R18" s="249"/>
      <c r="S18" s="249"/>
      <c r="T18" s="249"/>
      <c r="U18" s="249"/>
      <c r="V18" s="249"/>
      <c r="W18" s="249"/>
      <c r="X18" s="249"/>
    </row>
    <row r="21" spans="1:25" x14ac:dyDescent="0.2">
      <c r="A21"/>
    </row>
    <row r="22" spans="1:25" ht="12.75" customHeight="1" x14ac:dyDescent="0.2">
      <c r="A22" s="274" t="s">
        <v>189</v>
      </c>
      <c r="B22" s="275"/>
      <c r="C22" s="275"/>
      <c r="D22" s="275"/>
      <c r="E22" s="275"/>
      <c r="F22" s="275"/>
      <c r="G22" s="275"/>
      <c r="H22" s="275"/>
      <c r="I22" s="275"/>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48" t="s">
        <v>190</v>
      </c>
      <c r="B24" s="248"/>
      <c r="C24" s="249"/>
      <c r="D24" s="249"/>
      <c r="E24" s="249"/>
      <c r="F24" s="249"/>
      <c r="G24" s="249"/>
      <c r="H24" s="249"/>
      <c r="I24" s="249"/>
      <c r="J24" s="249"/>
      <c r="K24" s="249"/>
      <c r="L24" s="249"/>
      <c r="M24" s="249"/>
      <c r="N24" s="249"/>
      <c r="O24" s="249"/>
      <c r="P24" s="249"/>
      <c r="Q24" s="249"/>
      <c r="R24" s="249"/>
      <c r="S24" s="249"/>
      <c r="T24" s="249"/>
      <c r="U24" s="249"/>
      <c r="V24" s="249"/>
      <c r="W24" s="249"/>
      <c r="X24" s="249"/>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4" t="s">
        <v>191</v>
      </c>
      <c r="B26" s="214"/>
      <c r="C26" s="215"/>
      <c r="D26" s="215"/>
      <c r="E26" s="215"/>
      <c r="F26" s="215"/>
      <c r="G26" s="215"/>
      <c r="H26" s="215"/>
      <c r="I26" s="215"/>
      <c r="J26" s="215"/>
      <c r="K26" s="215"/>
      <c r="L26" s="215"/>
      <c r="M26" s="215"/>
      <c r="N26" s="215"/>
      <c r="O26" s="215"/>
      <c r="P26" s="215"/>
      <c r="Q26" s="215"/>
      <c r="R26" s="215"/>
      <c r="S26" s="215"/>
      <c r="T26" s="215"/>
      <c r="U26" s="215"/>
      <c r="V26" s="215"/>
      <c r="W26" s="215"/>
      <c r="X26" s="215"/>
    </row>
    <row r="27" spans="1:25" ht="6" customHeight="1" x14ac:dyDescent="0.2">
      <c r="A27" s="17"/>
      <c r="B27" s="17"/>
    </row>
    <row r="28" spans="1:25" ht="12.75" customHeight="1" x14ac:dyDescent="0.2">
      <c r="A28" s="203" t="s">
        <v>177</v>
      </c>
      <c r="B28" s="205"/>
      <c r="C28" s="203" t="s">
        <v>170</v>
      </c>
      <c r="D28" s="204"/>
      <c r="E28" s="205"/>
      <c r="F28" s="203" t="s">
        <v>171</v>
      </c>
      <c r="G28" s="204"/>
      <c r="H28" s="204"/>
      <c r="I28" s="205"/>
      <c r="J28" s="203" t="s">
        <v>172</v>
      </c>
      <c r="K28" s="204"/>
      <c r="L28" s="204"/>
      <c r="M28" s="204"/>
      <c r="N28" s="204"/>
      <c r="O28" s="205"/>
      <c r="P28" s="203" t="s">
        <v>0</v>
      </c>
      <c r="Q28" s="204"/>
      <c r="R28" s="204"/>
      <c r="S28" s="204"/>
      <c r="T28" s="204"/>
      <c r="U28" s="204"/>
      <c r="V28" s="204"/>
      <c r="W28" s="204"/>
      <c r="X28" s="205"/>
    </row>
    <row r="29" spans="1:25" ht="12.75" customHeight="1" x14ac:dyDescent="0.2">
      <c r="A29" s="206" t="s">
        <v>244</v>
      </c>
      <c r="B29" s="210"/>
      <c r="C29" s="206" t="s">
        <v>243</v>
      </c>
      <c r="D29" s="207"/>
      <c r="E29" s="208"/>
      <c r="F29" s="206" t="s">
        <v>248</v>
      </c>
      <c r="G29" s="209"/>
      <c r="H29" s="209"/>
      <c r="I29" s="210"/>
      <c r="J29" s="206" t="s">
        <v>247</v>
      </c>
      <c r="K29" s="209"/>
      <c r="L29" s="209"/>
      <c r="M29" s="209"/>
      <c r="N29" s="209"/>
      <c r="O29" s="210"/>
      <c r="P29" s="206" t="s">
        <v>245</v>
      </c>
      <c r="Q29" s="209"/>
      <c r="R29" s="209"/>
      <c r="S29" s="209"/>
      <c r="T29" s="209"/>
      <c r="U29" s="209"/>
      <c r="V29" s="209"/>
      <c r="W29" s="209"/>
      <c r="X29" s="210"/>
    </row>
    <row r="30" spans="1:25" ht="6" customHeight="1" x14ac:dyDescent="0.2">
      <c r="A30"/>
      <c r="B30"/>
      <c r="F30"/>
      <c r="G30"/>
      <c r="H30"/>
    </row>
    <row r="31" spans="1:25" x14ac:dyDescent="0.2">
      <c r="A31" s="203" t="s">
        <v>173</v>
      </c>
      <c r="B31" s="204"/>
      <c r="C31" s="204"/>
      <c r="D31" s="204"/>
      <c r="E31" s="204"/>
      <c r="F31" s="205"/>
      <c r="G31" s="203" t="s">
        <v>174</v>
      </c>
      <c r="H31" s="204"/>
      <c r="I31" s="204"/>
      <c r="J31" s="205"/>
      <c r="K31" s="203" t="s">
        <v>175</v>
      </c>
      <c r="L31" s="204"/>
      <c r="M31" s="204"/>
      <c r="N31" s="204"/>
      <c r="O31" s="204"/>
      <c r="P31" s="205"/>
      <c r="Q31" s="203" t="s">
        <v>180</v>
      </c>
      <c r="R31" s="204"/>
      <c r="S31" s="204"/>
      <c r="T31" s="204"/>
      <c r="U31" s="204"/>
      <c r="V31" s="204"/>
      <c r="W31" s="204"/>
      <c r="X31" s="205"/>
    </row>
    <row r="32" spans="1:25" x14ac:dyDescent="0.2">
      <c r="A32" s="211" t="s">
        <v>230</v>
      </c>
      <c r="B32" s="212"/>
      <c r="C32" s="212"/>
      <c r="D32" s="212"/>
      <c r="E32" s="212"/>
      <c r="F32" s="213"/>
      <c r="G32" s="206" t="s">
        <v>231</v>
      </c>
      <c r="H32" s="207"/>
      <c r="I32" s="207"/>
      <c r="J32" s="208"/>
      <c r="K32" s="206" t="s">
        <v>246</v>
      </c>
      <c r="L32" s="209"/>
      <c r="M32" s="209"/>
      <c r="N32" s="209"/>
      <c r="O32" s="209"/>
      <c r="P32" s="210"/>
      <c r="Q32" s="206" t="s">
        <v>262</v>
      </c>
      <c r="R32" s="209"/>
      <c r="S32" s="209"/>
      <c r="T32" s="209"/>
      <c r="U32" s="209"/>
      <c r="V32" s="209"/>
      <c r="W32" s="209"/>
      <c r="X32" s="210"/>
    </row>
    <row r="33" spans="1:24" ht="9" customHeight="1" x14ac:dyDescent="0.2"/>
    <row r="34" spans="1:24" s="19" customFormat="1" x14ac:dyDescent="0.2"/>
    <row r="35" spans="1:24" ht="12.75" customHeight="1" x14ac:dyDescent="0.2">
      <c r="A35" s="214" t="s">
        <v>192</v>
      </c>
      <c r="B35" s="214"/>
      <c r="C35" s="215"/>
      <c r="D35" s="215"/>
      <c r="E35" s="215"/>
      <c r="F35" s="215"/>
      <c r="G35" s="215"/>
      <c r="H35" s="215"/>
      <c r="I35" s="215"/>
      <c r="J35" s="215"/>
      <c r="K35" s="215"/>
      <c r="L35" s="215"/>
      <c r="M35" s="215"/>
      <c r="N35" s="215"/>
      <c r="O35" s="215"/>
      <c r="P35" s="215"/>
      <c r="Q35" s="215"/>
      <c r="R35" s="215"/>
      <c r="S35" s="215"/>
      <c r="T35" s="215"/>
      <c r="U35" s="215"/>
      <c r="V35" s="215"/>
      <c r="W35" s="215"/>
      <c r="X35" s="215"/>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3" t="s">
        <v>16</v>
      </c>
      <c r="B37" s="205"/>
      <c r="C37" s="78" t="s">
        <v>91</v>
      </c>
      <c r="D37" s="203" t="s">
        <v>14</v>
      </c>
      <c r="E37" s="204"/>
      <c r="F37" s="205"/>
      <c r="G37" s="203" t="s">
        <v>12</v>
      </c>
      <c r="H37" s="204"/>
      <c r="I37" s="204"/>
      <c r="J37" s="204"/>
      <c r="K37" s="204"/>
      <c r="L37" s="204"/>
      <c r="M37" s="204"/>
      <c r="N37" s="204"/>
      <c r="O37" s="204"/>
      <c r="P37" s="204"/>
      <c r="Q37" s="204"/>
      <c r="R37" s="204"/>
      <c r="S37" s="205"/>
      <c r="T37" s="79" t="s">
        <v>7</v>
      </c>
      <c r="U37" s="79" t="s">
        <v>8</v>
      </c>
      <c r="V37" s="79" t="s">
        <v>9</v>
      </c>
      <c r="W37" s="79" t="s">
        <v>10</v>
      </c>
      <c r="X37" s="79" t="s">
        <v>11</v>
      </c>
    </row>
    <row r="38" spans="1:24" ht="12.75" customHeight="1" x14ac:dyDescent="0.2">
      <c r="A38" s="238">
        <v>45627</v>
      </c>
      <c r="B38" s="239"/>
      <c r="C38" s="77" t="s">
        <v>233</v>
      </c>
      <c r="D38" s="206" t="s">
        <v>78</v>
      </c>
      <c r="E38" s="207"/>
      <c r="F38" s="208"/>
      <c r="G38" s="206" t="s">
        <v>261</v>
      </c>
      <c r="H38" s="207"/>
      <c r="I38" s="207"/>
      <c r="J38" s="207"/>
      <c r="K38" s="207"/>
      <c r="L38" s="207"/>
      <c r="M38" s="207"/>
      <c r="N38" s="207"/>
      <c r="O38" s="207"/>
      <c r="P38" s="207"/>
      <c r="Q38" s="207"/>
      <c r="R38" s="207"/>
      <c r="S38" s="208"/>
      <c r="T38" s="80">
        <f ca="1">IF(ISERROR(INDIRECT("'BDI ("&amp;RIGHT(T37,1)&amp;")'!N27")),"",INDIRECT("'BDI ("&amp;RIGHT(T37,1)&amp;")'!N27"))</f>
        <v>0.21390000000000001</v>
      </c>
      <c r="U38" s="81">
        <f ca="1">IF(ISERROR(INDIRECT("'BDI ("&amp;RIGHT(U37,1)&amp;")'!N27")),"",INDIRECT("'BDI ("&amp;RIGHT(U37,1)&amp;")'!N27"))</f>
        <v>0.16789999999999999</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4" t="s">
        <v>162</v>
      </c>
      <c r="B40" s="214"/>
      <c r="C40" s="215"/>
      <c r="D40" s="215"/>
      <c r="E40" s="215"/>
      <c r="F40" s="215"/>
      <c r="G40" s="215"/>
      <c r="H40" s="215"/>
      <c r="I40" s="215"/>
      <c r="J40" s="215"/>
      <c r="K40" s="215"/>
      <c r="L40" s="215"/>
      <c r="M40" s="215"/>
      <c r="N40" s="215"/>
      <c r="O40" s="215"/>
      <c r="P40" s="215"/>
      <c r="Q40" s="215"/>
      <c r="R40" s="215"/>
      <c r="S40" s="215"/>
      <c r="T40" s="215"/>
      <c r="U40" s="215"/>
      <c r="V40" s="215"/>
      <c r="W40" s="215"/>
      <c r="X40" s="215"/>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3" t="s">
        <v>87</v>
      </c>
      <c r="B42" s="205"/>
      <c r="C42" s="203" t="s">
        <v>111</v>
      </c>
      <c r="D42" s="204"/>
      <c r="E42" s="204"/>
      <c r="F42" s="204"/>
      <c r="G42" s="204"/>
      <c r="H42" s="203" t="s">
        <v>16</v>
      </c>
      <c r="I42" s="204"/>
      <c r="J42" s="20" t="s">
        <v>91</v>
      </c>
      <c r="K42" s="203" t="s">
        <v>88</v>
      </c>
      <c r="L42" s="204"/>
      <c r="M42" s="205"/>
      <c r="N42" s="20" t="s">
        <v>92</v>
      </c>
      <c r="O42" s="203" t="s">
        <v>93</v>
      </c>
      <c r="P42" s="204"/>
      <c r="Q42" s="204"/>
      <c r="R42" s="204"/>
      <c r="S42" s="204"/>
      <c r="T42" s="205"/>
      <c r="U42" s="236" t="s">
        <v>89</v>
      </c>
      <c r="V42" s="237"/>
      <c r="W42" s="236" t="s">
        <v>90</v>
      </c>
      <c r="X42" s="237"/>
    </row>
    <row r="43" spans="1:24" ht="12.75" customHeight="1" x14ac:dyDescent="0.2">
      <c r="A43" s="270"/>
      <c r="B43" s="271"/>
      <c r="C43" s="206"/>
      <c r="D43" s="207"/>
      <c r="E43" s="207"/>
      <c r="F43" s="207"/>
      <c r="G43" s="207"/>
      <c r="H43" s="238"/>
      <c r="I43" s="239"/>
      <c r="J43" s="74"/>
      <c r="K43" s="216"/>
      <c r="L43" s="217"/>
      <c r="M43" s="218"/>
      <c r="N43" s="89"/>
      <c r="O43" s="259"/>
      <c r="P43" s="260"/>
      <c r="Q43" s="260"/>
      <c r="R43" s="261"/>
      <c r="S43" s="261"/>
      <c r="T43" s="262"/>
      <c r="U43" s="257"/>
      <c r="V43" s="263"/>
      <c r="W43" s="257"/>
      <c r="X43" s="258"/>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4" t="s">
        <v>193</v>
      </c>
      <c r="B45" s="214"/>
      <c r="C45" s="215"/>
      <c r="D45" s="215"/>
      <c r="E45" s="215"/>
      <c r="F45" s="215"/>
      <c r="G45" s="215"/>
      <c r="H45" s="215"/>
      <c r="I45" s="215"/>
      <c r="J45" s="215"/>
      <c r="K45" s="215"/>
      <c r="L45" s="215"/>
      <c r="M45" s="215"/>
      <c r="N45" s="215"/>
      <c r="O45" s="215"/>
      <c r="P45" s="215"/>
      <c r="Q45" s="215"/>
      <c r="R45" s="215"/>
      <c r="S45" s="215"/>
      <c r="T45" s="215"/>
      <c r="U45" s="215"/>
      <c r="V45" s="215"/>
      <c r="W45" s="215"/>
      <c r="X45" s="215"/>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42">
        <v>45170</v>
      </c>
      <c r="B48" s="243"/>
      <c r="C48" s="244"/>
      <c r="E48" s="29"/>
      <c r="F48"/>
      <c r="G48"/>
      <c r="H48"/>
    </row>
    <row r="49" spans="1:24" x14ac:dyDescent="0.2">
      <c r="F49" s="25"/>
      <c r="G49" s="26"/>
      <c r="H49" s="27"/>
    </row>
    <row r="50" spans="1:24" x14ac:dyDescent="0.2">
      <c r="A50" s="214" t="s">
        <v>194</v>
      </c>
      <c r="B50" s="214"/>
      <c r="C50" s="215"/>
      <c r="D50" s="215"/>
      <c r="E50" s="215"/>
      <c r="F50" s="215"/>
      <c r="G50" s="215"/>
      <c r="H50" s="215"/>
      <c r="I50" s="215"/>
      <c r="J50" s="215"/>
      <c r="K50" s="215"/>
      <c r="L50" s="215"/>
      <c r="M50" s="215"/>
      <c r="N50" s="215"/>
      <c r="O50" s="215"/>
      <c r="P50" s="215"/>
      <c r="Q50" s="215"/>
      <c r="R50" s="215"/>
      <c r="S50" s="215"/>
      <c r="T50" s="215"/>
      <c r="U50" s="215"/>
      <c r="V50" s="215"/>
      <c r="W50" s="215"/>
      <c r="X50" s="215"/>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229</v>
      </c>
      <c r="L52" s="24"/>
    </row>
    <row r="53" spans="1:24" x14ac:dyDescent="0.2">
      <c r="A53" s="30"/>
      <c r="B53" s="30"/>
      <c r="C53" s="31"/>
      <c r="D53" s="31"/>
      <c r="E53" s="31"/>
      <c r="F53" s="25"/>
      <c r="G53" s="30"/>
      <c r="H53" s="30"/>
      <c r="I53" s="31"/>
      <c r="J53" s="31"/>
      <c r="K53" s="31"/>
    </row>
    <row r="54" spans="1:24" x14ac:dyDescent="0.2">
      <c r="A54" s="86" t="s">
        <v>140</v>
      </c>
      <c r="B54" s="246"/>
      <c r="C54" s="247"/>
      <c r="D54" s="247"/>
      <c r="E54" s="247"/>
      <c r="F54" s="25"/>
      <c r="G54" s="86" t="s">
        <v>140</v>
      </c>
      <c r="H54" s="247"/>
      <c r="I54" s="247"/>
      <c r="J54" s="247"/>
      <c r="K54" s="247"/>
    </row>
    <row r="55" spans="1:24" x14ac:dyDescent="0.2">
      <c r="A55" s="86" t="str">
        <f>IF(OR(TipoOrçamento="BASE",TipoOrçamento="REPROGRAMADONPL"),"Título:","Cargo:")</f>
        <v>Cargo:</v>
      </c>
      <c r="B55" s="246"/>
      <c r="C55" s="247"/>
      <c r="D55" s="247"/>
      <c r="E55" s="247"/>
      <c r="F55" s="25"/>
      <c r="G55" s="86" t="str">
        <f>A55</f>
        <v>Cargo:</v>
      </c>
      <c r="H55" s="247"/>
      <c r="I55" s="247"/>
      <c r="J55" s="247"/>
      <c r="K55" s="247"/>
    </row>
    <row r="56" spans="1:24" x14ac:dyDescent="0.2">
      <c r="A56" s="86" t="str">
        <f>IF(OR(TipoOrçamento="BASE",TipoOrçamento="REPROGRAMADONPL"),"CREA/CAU:","Empresa:")</f>
        <v>Empresa:</v>
      </c>
      <c r="B56" s="252"/>
      <c r="C56" s="245"/>
      <c r="D56" s="245"/>
      <c r="E56" s="245"/>
      <c r="F56" s="25"/>
      <c r="G56" s="86" t="str">
        <f>A56</f>
        <v>Empresa:</v>
      </c>
      <c r="H56" s="245"/>
      <c r="I56" s="245"/>
      <c r="J56" s="245"/>
      <c r="K56" s="245"/>
    </row>
    <row r="57" spans="1:24" x14ac:dyDescent="0.2">
      <c r="A57" s="86" t="str">
        <f>IF(OR(TipoOrçamento="BASE",TipoOrçamento="REPROGRAMADONPL"),"ART/RRT:","CNPJ:")</f>
        <v>CNPJ:</v>
      </c>
      <c r="B57" s="252"/>
      <c r="C57" s="245"/>
      <c r="D57" s="245"/>
      <c r="E57" s="245"/>
      <c r="F57" s="25"/>
      <c r="G57" s="86" t="str">
        <f>A57</f>
        <v>CNPJ:</v>
      </c>
      <c r="H57" s="245"/>
      <c r="I57" s="245"/>
      <c r="J57" s="245"/>
      <c r="K57" s="245"/>
    </row>
    <row r="58" spans="1:24" x14ac:dyDescent="0.2">
      <c r="F58" s="25"/>
      <c r="G58" s="26"/>
      <c r="H58" s="27"/>
    </row>
    <row r="59" spans="1:24" x14ac:dyDescent="0.2">
      <c r="F59" s="25"/>
      <c r="G59" s="26"/>
      <c r="H59" s="27"/>
    </row>
    <row r="60" spans="1:24" ht="12.75" customHeight="1" x14ac:dyDescent="0.2">
      <c r="A60" s="248" t="s">
        <v>195</v>
      </c>
      <c r="B60" s="248"/>
      <c r="C60" s="249"/>
      <c r="D60" s="249"/>
      <c r="E60" s="249"/>
      <c r="F60" s="249"/>
      <c r="G60" s="249"/>
      <c r="H60" s="249"/>
      <c r="I60" s="249"/>
      <c r="J60" s="249"/>
      <c r="K60" s="249"/>
      <c r="L60" s="249"/>
      <c r="M60" s="249"/>
      <c r="N60" s="249"/>
      <c r="O60" s="249"/>
      <c r="P60" s="249"/>
      <c r="Q60" s="249"/>
      <c r="R60" s="249"/>
      <c r="S60" s="249"/>
      <c r="T60" s="249"/>
      <c r="U60" s="249"/>
      <c r="V60" s="249"/>
      <c r="W60" s="249"/>
      <c r="X60" s="249"/>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50" t="s">
        <v>196</v>
      </c>
      <c r="B62" s="272"/>
      <c r="C62" s="273"/>
      <c r="D62" s="273"/>
      <c r="E62" s="273"/>
      <c r="F62" s="273"/>
      <c r="G62" s="273"/>
      <c r="H62" s="273"/>
      <c r="I62" s="273"/>
      <c r="J62" s="273"/>
      <c r="K62" s="273"/>
      <c r="L62" s="273"/>
      <c r="M62" s="273"/>
      <c r="N62" s="273"/>
      <c r="O62" s="273"/>
      <c r="P62" s="273"/>
      <c r="Q62" s="273"/>
      <c r="R62" s="273"/>
      <c r="S62" s="273"/>
      <c r="T62" s="273"/>
      <c r="U62" s="273"/>
      <c r="V62" s="273"/>
      <c r="W62" s="273"/>
      <c r="X62" s="273"/>
    </row>
    <row r="63" spans="1:24" ht="30" customHeight="1" x14ac:dyDescent="0.2">
      <c r="A63" s="250" t="s">
        <v>197</v>
      </c>
      <c r="B63" s="250"/>
      <c r="C63" s="251"/>
      <c r="D63" s="251"/>
      <c r="E63" s="251"/>
      <c r="F63" s="251"/>
      <c r="G63" s="251"/>
      <c r="H63" s="251"/>
      <c r="I63" s="251"/>
      <c r="J63" s="251"/>
      <c r="K63" s="251"/>
      <c r="L63" s="251"/>
      <c r="M63" s="251"/>
      <c r="N63" s="251"/>
      <c r="O63" s="251"/>
      <c r="P63" s="251"/>
      <c r="Q63" s="251"/>
      <c r="R63" s="251"/>
      <c r="S63" s="251"/>
      <c r="T63" s="251"/>
      <c r="U63" s="251"/>
      <c r="V63" s="251"/>
      <c r="W63" s="251"/>
      <c r="X63" s="251"/>
    </row>
    <row r="64" spans="1:24" x14ac:dyDescent="0.2">
      <c r="F64" s="25"/>
      <c r="G64" s="26"/>
      <c r="H64" s="27"/>
    </row>
    <row r="65" spans="1:24" ht="12.75" customHeight="1" x14ac:dyDescent="0.2">
      <c r="A65" s="248" t="s">
        <v>198</v>
      </c>
      <c r="B65" s="248"/>
      <c r="C65" s="249"/>
      <c r="D65" s="249"/>
      <c r="E65" s="249"/>
      <c r="F65" s="249"/>
      <c r="G65" s="249"/>
      <c r="H65" s="249"/>
      <c r="I65" s="249"/>
      <c r="J65" s="249"/>
      <c r="K65" s="249"/>
      <c r="L65" s="249"/>
      <c r="M65" s="249"/>
      <c r="N65" s="249"/>
      <c r="O65" s="249"/>
      <c r="P65" s="249"/>
      <c r="Q65" s="249"/>
      <c r="R65" s="249"/>
      <c r="S65" s="249"/>
      <c r="T65" s="249"/>
      <c r="U65" s="249"/>
      <c r="V65" s="249"/>
      <c r="W65" s="249"/>
      <c r="X65" s="249"/>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4" t="s">
        <v>199</v>
      </c>
      <c r="B67" s="214"/>
      <c r="C67" s="215"/>
      <c r="D67" s="215"/>
      <c r="E67" s="215"/>
      <c r="F67" s="215"/>
      <c r="G67" s="215"/>
      <c r="H67" s="215"/>
      <c r="I67" s="215"/>
      <c r="J67" s="215"/>
      <c r="K67" s="215"/>
      <c r="L67" s="215"/>
      <c r="M67" s="215"/>
      <c r="N67" s="215"/>
      <c r="O67" s="215"/>
      <c r="P67" s="215"/>
      <c r="Q67" s="215"/>
      <c r="R67" s="215"/>
      <c r="S67" s="215"/>
      <c r="T67" s="215"/>
      <c r="U67" s="215"/>
      <c r="V67" s="215"/>
      <c r="W67" s="215"/>
      <c r="X67" s="215"/>
    </row>
    <row r="68" spans="1:24" x14ac:dyDescent="0.2">
      <c r="A68" s="214" t="s">
        <v>200</v>
      </c>
      <c r="B68" s="214"/>
      <c r="C68" s="215"/>
      <c r="D68" s="215"/>
      <c r="E68" s="215"/>
      <c r="F68" s="215"/>
      <c r="G68" s="215"/>
      <c r="H68" s="215"/>
      <c r="I68" s="215"/>
      <c r="J68" s="215"/>
      <c r="K68" s="215"/>
      <c r="L68" s="215"/>
      <c r="M68" s="215"/>
      <c r="N68" s="215"/>
      <c r="O68" s="215"/>
      <c r="P68" s="215"/>
      <c r="Q68" s="215"/>
      <c r="R68" s="215"/>
      <c r="S68" s="215"/>
      <c r="T68" s="215"/>
      <c r="U68" s="215"/>
      <c r="V68" s="215"/>
      <c r="W68" s="215"/>
      <c r="X68" s="215"/>
    </row>
    <row r="69" spans="1:24" ht="12.75" customHeight="1" x14ac:dyDescent="0.2">
      <c r="A69" s="214" t="s">
        <v>201</v>
      </c>
      <c r="B69" s="214"/>
      <c r="C69" s="215"/>
      <c r="D69" s="215"/>
      <c r="E69" s="215"/>
      <c r="F69" s="215"/>
      <c r="G69" s="215"/>
      <c r="H69" s="215"/>
      <c r="I69" s="215"/>
      <c r="J69" s="215"/>
      <c r="K69" s="215"/>
      <c r="L69" s="215"/>
      <c r="M69" s="215"/>
      <c r="N69" s="215"/>
      <c r="O69" s="215"/>
      <c r="P69" s="215"/>
      <c r="Q69" s="215"/>
      <c r="R69" s="215"/>
      <c r="S69" s="215"/>
      <c r="T69" s="215"/>
      <c r="U69" s="215"/>
      <c r="V69" s="215"/>
      <c r="W69" s="215"/>
      <c r="X69" s="215"/>
    </row>
    <row r="70" spans="1:24" ht="12.75" customHeight="1" x14ac:dyDescent="0.2">
      <c r="A70" s="214" t="s">
        <v>202</v>
      </c>
      <c r="B70" s="214"/>
      <c r="C70" s="215"/>
      <c r="D70" s="215"/>
      <c r="E70" s="215"/>
      <c r="F70" s="215"/>
      <c r="G70" s="215"/>
      <c r="H70" s="215"/>
      <c r="I70" s="215"/>
      <c r="J70" s="215"/>
      <c r="K70" s="215"/>
      <c r="L70" s="215"/>
      <c r="M70" s="215"/>
      <c r="N70" s="215"/>
      <c r="O70" s="215"/>
      <c r="P70" s="215"/>
      <c r="Q70" s="215"/>
      <c r="R70" s="215"/>
      <c r="S70" s="215"/>
      <c r="T70" s="215"/>
      <c r="U70" s="215"/>
      <c r="V70" s="215"/>
      <c r="W70" s="215"/>
      <c r="X70" s="215"/>
    </row>
    <row r="71" spans="1:24" ht="12.75" customHeight="1" x14ac:dyDescent="0.2">
      <c r="A71" s="214" t="s">
        <v>203</v>
      </c>
      <c r="B71" s="214"/>
      <c r="C71" s="215"/>
      <c r="D71" s="215"/>
      <c r="E71" s="215"/>
      <c r="F71" s="215"/>
      <c r="G71" s="215"/>
      <c r="H71" s="215"/>
      <c r="I71" s="215"/>
      <c r="J71" s="215"/>
      <c r="K71" s="215"/>
      <c r="L71" s="215"/>
      <c r="M71" s="215"/>
      <c r="N71" s="215"/>
      <c r="O71" s="215"/>
      <c r="P71" s="215"/>
      <c r="Q71" s="215"/>
      <c r="R71" s="215"/>
      <c r="S71" s="215"/>
      <c r="T71" s="215"/>
      <c r="U71" s="215"/>
      <c r="V71" s="215"/>
      <c r="W71" s="215"/>
      <c r="X71" s="215"/>
    </row>
    <row r="72" spans="1:24" ht="12.75" customHeight="1" x14ac:dyDescent="0.2">
      <c r="A72" s="214" t="s">
        <v>204</v>
      </c>
      <c r="B72" s="214"/>
      <c r="C72" s="215"/>
      <c r="D72" s="215"/>
      <c r="E72" s="215"/>
      <c r="F72" s="215"/>
      <c r="G72" s="215"/>
      <c r="H72" s="215"/>
      <c r="I72" s="215"/>
      <c r="J72" s="215"/>
      <c r="K72" s="215"/>
      <c r="L72" s="215"/>
      <c r="M72" s="215"/>
      <c r="N72" s="215"/>
      <c r="O72" s="215"/>
      <c r="P72" s="215"/>
      <c r="Q72" s="215"/>
      <c r="R72" s="215"/>
      <c r="S72" s="215"/>
      <c r="T72" s="215"/>
      <c r="U72" s="215"/>
      <c r="V72" s="215"/>
      <c r="W72" s="215"/>
      <c r="X72" s="215"/>
    </row>
    <row r="73" spans="1:24" x14ac:dyDescent="0.2">
      <c r="F73" s="25"/>
      <c r="G73" s="26"/>
      <c r="H73" s="27"/>
    </row>
    <row r="74" spans="1:24" ht="12.75" customHeight="1" x14ac:dyDescent="0.2">
      <c r="A74" s="248" t="s">
        <v>205</v>
      </c>
      <c r="B74" s="248"/>
      <c r="C74" s="249"/>
      <c r="D74" s="249"/>
      <c r="E74" s="249"/>
      <c r="F74" s="249"/>
      <c r="G74" s="249"/>
      <c r="H74" s="249"/>
      <c r="I74" s="249"/>
      <c r="J74" s="249"/>
      <c r="K74" s="249"/>
      <c r="L74" s="249"/>
      <c r="M74" s="249"/>
      <c r="N74" s="249"/>
      <c r="O74" s="249"/>
      <c r="P74" s="249"/>
      <c r="Q74" s="249"/>
      <c r="R74" s="249"/>
      <c r="S74" s="249"/>
      <c r="T74" s="249"/>
      <c r="U74" s="249"/>
      <c r="V74" s="249"/>
      <c r="W74" s="249"/>
      <c r="X74" s="249"/>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4" t="s">
        <v>206</v>
      </c>
      <c r="B76" s="214"/>
      <c r="C76" s="215"/>
      <c r="D76" s="215"/>
      <c r="E76" s="215"/>
      <c r="F76" s="215"/>
      <c r="G76" s="215"/>
      <c r="H76" s="215"/>
      <c r="I76" s="215"/>
      <c r="J76" s="215"/>
      <c r="K76" s="215"/>
      <c r="L76" s="215"/>
      <c r="M76" s="215"/>
      <c r="N76" s="215"/>
      <c r="O76" s="215"/>
      <c r="P76" s="215"/>
      <c r="Q76" s="215"/>
      <c r="R76" s="215"/>
      <c r="S76" s="215"/>
      <c r="T76" s="215"/>
      <c r="U76" s="215"/>
      <c r="V76" s="215"/>
      <c r="W76" s="215"/>
      <c r="X76" s="215"/>
    </row>
    <row r="77" spans="1:24" ht="26.1" customHeight="1" x14ac:dyDescent="0.2">
      <c r="A77" s="225" t="s">
        <v>207</v>
      </c>
      <c r="B77" s="225"/>
      <c r="C77" s="226"/>
      <c r="D77" s="226"/>
      <c r="E77" s="226"/>
      <c r="F77" s="226"/>
      <c r="G77" s="226"/>
      <c r="H77" s="226"/>
      <c r="I77" s="226"/>
      <c r="J77" s="226"/>
      <c r="K77" s="226"/>
      <c r="L77" s="226"/>
      <c r="M77" s="226"/>
      <c r="N77" s="226"/>
      <c r="O77" s="226"/>
      <c r="P77" s="226"/>
      <c r="Q77" s="226"/>
      <c r="R77" s="226"/>
      <c r="S77" s="226"/>
      <c r="T77" s="226"/>
      <c r="U77" s="226"/>
      <c r="V77" s="226"/>
      <c r="W77" s="226"/>
      <c r="X77" s="226"/>
    </row>
    <row r="78" spans="1:24" ht="12.75" customHeight="1" x14ac:dyDescent="0.2">
      <c r="A78" s="214" t="s">
        <v>208</v>
      </c>
      <c r="B78" s="214"/>
      <c r="C78" s="215"/>
      <c r="D78" s="215"/>
      <c r="E78" s="215"/>
      <c r="F78" s="215"/>
      <c r="G78" s="215"/>
      <c r="H78" s="215"/>
      <c r="I78" s="215"/>
      <c r="J78" s="215"/>
      <c r="K78" s="215"/>
      <c r="L78" s="215"/>
      <c r="M78" s="215"/>
      <c r="N78" s="215"/>
      <c r="O78" s="215"/>
      <c r="P78" s="215"/>
      <c r="Q78" s="215"/>
      <c r="R78" s="215"/>
      <c r="S78" s="215"/>
      <c r="T78" s="215"/>
      <c r="U78" s="215"/>
      <c r="V78" s="215"/>
      <c r="W78" s="215"/>
      <c r="X78" s="215"/>
    </row>
    <row r="79" spans="1:24" ht="25.5" customHeight="1" x14ac:dyDescent="0.2">
      <c r="A79" s="214" t="s">
        <v>209</v>
      </c>
      <c r="B79" s="214"/>
      <c r="C79" s="215"/>
      <c r="D79" s="215"/>
      <c r="E79" s="215"/>
      <c r="F79" s="215"/>
      <c r="G79" s="215"/>
      <c r="H79" s="215"/>
      <c r="I79" s="215"/>
      <c r="J79" s="215"/>
      <c r="K79" s="215"/>
      <c r="L79" s="215"/>
      <c r="M79" s="215"/>
      <c r="N79" s="215"/>
      <c r="O79" s="215"/>
      <c r="P79" s="215"/>
      <c r="Q79" s="215"/>
      <c r="R79" s="215"/>
      <c r="S79" s="215"/>
      <c r="T79" s="215"/>
      <c r="U79" s="215"/>
      <c r="V79" s="215"/>
      <c r="W79" s="215"/>
      <c r="X79" s="215"/>
    </row>
    <row r="80" spans="1:24" x14ac:dyDescent="0.2">
      <c r="A80" s="225" t="s">
        <v>210</v>
      </c>
      <c r="B80" s="225"/>
      <c r="C80" s="226"/>
      <c r="D80" s="226"/>
      <c r="E80" s="226"/>
      <c r="F80" s="226"/>
      <c r="G80" s="226"/>
      <c r="H80" s="226"/>
      <c r="I80" s="226"/>
      <c r="J80" s="226"/>
      <c r="K80" s="226"/>
      <c r="L80" s="226"/>
      <c r="M80" s="226"/>
      <c r="N80" s="226"/>
      <c r="O80" s="226"/>
      <c r="P80" s="226"/>
      <c r="Q80" s="226"/>
      <c r="R80" s="226"/>
      <c r="S80" s="226"/>
      <c r="T80" s="226"/>
      <c r="U80" s="226"/>
      <c r="V80" s="226"/>
      <c r="W80" s="226"/>
      <c r="X80" s="226"/>
    </row>
    <row r="81" spans="1:24" ht="12.75" customHeight="1" x14ac:dyDescent="0.2">
      <c r="A81" s="214" t="s">
        <v>211</v>
      </c>
      <c r="B81" s="214"/>
      <c r="C81" s="215"/>
      <c r="D81" s="215"/>
      <c r="E81" s="215"/>
      <c r="F81" s="215"/>
      <c r="G81" s="215"/>
      <c r="H81" s="215"/>
      <c r="I81" s="215"/>
      <c r="J81" s="215"/>
      <c r="K81" s="215"/>
      <c r="L81" s="215"/>
      <c r="M81" s="215"/>
      <c r="N81" s="215"/>
      <c r="O81" s="215"/>
      <c r="P81" s="215"/>
      <c r="Q81" s="215"/>
      <c r="R81" s="215"/>
      <c r="S81" s="215"/>
      <c r="T81" s="215"/>
      <c r="U81" s="215"/>
      <c r="V81" s="215"/>
      <c r="W81" s="215"/>
      <c r="X81" s="215"/>
    </row>
    <row r="82" spans="1:24" ht="26.1" customHeight="1" x14ac:dyDescent="0.2">
      <c r="A82" s="214" t="s">
        <v>212</v>
      </c>
      <c r="B82" s="214"/>
      <c r="C82" s="215"/>
      <c r="D82" s="215"/>
      <c r="E82" s="215"/>
      <c r="F82" s="215"/>
      <c r="G82" s="215"/>
      <c r="H82" s="215"/>
      <c r="I82" s="215"/>
      <c r="J82" s="215"/>
      <c r="K82" s="215"/>
      <c r="L82" s="215"/>
      <c r="M82" s="215"/>
      <c r="N82" s="215"/>
      <c r="O82" s="215"/>
      <c r="P82" s="215"/>
      <c r="Q82" s="215"/>
      <c r="R82" s="215"/>
      <c r="S82" s="215"/>
      <c r="T82" s="215"/>
      <c r="U82" s="215"/>
      <c r="V82" s="215"/>
      <c r="W82" s="215"/>
      <c r="X82" s="215"/>
    </row>
    <row r="83" spans="1:24" ht="26.1" customHeight="1" x14ac:dyDescent="0.2">
      <c r="A83" s="214" t="s">
        <v>213</v>
      </c>
      <c r="B83" s="214"/>
      <c r="C83" s="215"/>
      <c r="D83" s="215"/>
      <c r="E83" s="215"/>
      <c r="F83" s="215"/>
      <c r="G83" s="215"/>
      <c r="H83" s="215"/>
      <c r="I83" s="215"/>
      <c r="J83" s="215"/>
      <c r="K83" s="215"/>
      <c r="L83" s="215"/>
      <c r="M83" s="215"/>
      <c r="N83" s="215"/>
      <c r="O83" s="215"/>
      <c r="P83" s="215"/>
      <c r="Q83" s="215"/>
      <c r="R83" s="215"/>
      <c r="S83" s="215"/>
      <c r="T83" s="215"/>
      <c r="U83" s="215"/>
      <c r="V83" s="215"/>
      <c r="W83" s="215"/>
      <c r="X83" s="215"/>
    </row>
    <row r="84" spans="1:24" ht="12.75" customHeight="1" x14ac:dyDescent="0.2">
      <c r="A84" s="214" t="s">
        <v>214</v>
      </c>
      <c r="B84" s="214"/>
      <c r="C84" s="215"/>
      <c r="D84" s="215"/>
      <c r="E84" s="215"/>
      <c r="F84" s="215"/>
      <c r="G84" s="215"/>
      <c r="H84" s="215"/>
      <c r="I84" s="215"/>
      <c r="J84" s="215"/>
      <c r="K84" s="215"/>
      <c r="L84" s="215"/>
      <c r="M84" s="215"/>
      <c r="N84" s="215"/>
      <c r="O84" s="215"/>
      <c r="P84" s="215"/>
      <c r="Q84" s="215"/>
      <c r="R84" s="215"/>
      <c r="S84" s="215"/>
      <c r="T84" s="215"/>
      <c r="U84" s="215"/>
      <c r="V84" s="215"/>
      <c r="W84" s="215"/>
      <c r="X84" s="215"/>
    </row>
    <row r="85" spans="1:24" x14ac:dyDescent="0.2">
      <c r="A85" s="214" t="s">
        <v>215</v>
      </c>
      <c r="B85" s="214"/>
      <c r="C85" s="215"/>
      <c r="D85" s="215"/>
      <c r="E85" s="215"/>
      <c r="F85" s="215"/>
      <c r="G85" s="215"/>
      <c r="H85" s="215"/>
      <c r="I85" s="215"/>
      <c r="J85" s="215"/>
      <c r="K85" s="215"/>
      <c r="L85" s="215"/>
      <c r="M85" s="215"/>
      <c r="N85" s="215"/>
      <c r="O85" s="215"/>
      <c r="P85" s="215"/>
      <c r="Q85" s="215"/>
      <c r="R85" s="215"/>
      <c r="S85" s="215"/>
      <c r="T85" s="215"/>
      <c r="U85" s="215"/>
      <c r="V85" s="215"/>
      <c r="W85" s="215"/>
      <c r="X85" s="215"/>
    </row>
    <row r="86" spans="1:24" ht="12.75" customHeight="1" x14ac:dyDescent="0.2">
      <c r="A86" s="225" t="s">
        <v>216</v>
      </c>
      <c r="B86" s="225"/>
      <c r="C86" s="226"/>
      <c r="D86" s="226"/>
      <c r="E86" s="226"/>
      <c r="F86" s="226"/>
      <c r="G86" s="226"/>
      <c r="H86" s="226"/>
      <c r="I86" s="226"/>
      <c r="J86" s="226"/>
      <c r="K86" s="226"/>
      <c r="L86" s="226"/>
      <c r="M86" s="226"/>
      <c r="N86" s="226"/>
      <c r="O86" s="226"/>
      <c r="P86" s="226"/>
      <c r="Q86" s="226"/>
      <c r="R86" s="226"/>
      <c r="S86" s="226"/>
      <c r="T86" s="226"/>
      <c r="U86" s="226"/>
      <c r="V86" s="226"/>
      <c r="W86" s="226"/>
      <c r="X86" s="226"/>
    </row>
    <row r="87" spans="1:24" x14ac:dyDescent="0.2">
      <c r="A87" s="214" t="s">
        <v>217</v>
      </c>
      <c r="B87" s="214"/>
      <c r="C87" s="215"/>
      <c r="D87" s="215"/>
      <c r="E87" s="215"/>
      <c r="F87" s="215"/>
      <c r="G87" s="215"/>
      <c r="H87" s="215"/>
      <c r="I87" s="215"/>
      <c r="J87" s="215"/>
      <c r="K87" s="215"/>
      <c r="L87" s="215"/>
      <c r="M87" s="215"/>
      <c r="N87" s="215"/>
      <c r="O87" s="215"/>
      <c r="P87" s="215"/>
      <c r="Q87" s="215"/>
      <c r="R87" s="215"/>
      <c r="S87" s="215"/>
      <c r="T87" s="215"/>
      <c r="U87" s="215"/>
      <c r="V87" s="215"/>
      <c r="W87" s="215"/>
      <c r="X87" s="215"/>
    </row>
    <row r="88" spans="1:24" x14ac:dyDescent="0.2">
      <c r="A88" s="214" t="s">
        <v>218</v>
      </c>
      <c r="B88" s="214"/>
      <c r="C88" s="215"/>
      <c r="D88" s="215"/>
      <c r="E88" s="215"/>
      <c r="F88" s="215"/>
      <c r="G88" s="215"/>
      <c r="H88" s="215"/>
      <c r="I88" s="215"/>
      <c r="J88" s="215"/>
      <c r="K88" s="215"/>
      <c r="L88" s="215"/>
      <c r="M88" s="215"/>
      <c r="N88" s="215"/>
      <c r="O88" s="215"/>
      <c r="P88" s="215"/>
      <c r="Q88" s="215"/>
      <c r="R88" s="215"/>
      <c r="S88" s="215"/>
      <c r="T88" s="215"/>
      <c r="U88" s="215"/>
      <c r="V88" s="215"/>
      <c r="W88" s="215"/>
      <c r="X88" s="215"/>
    </row>
    <row r="90" spans="1:24" x14ac:dyDescent="0.2">
      <c r="A90" s="248" t="s">
        <v>219</v>
      </c>
      <c r="B90" s="248"/>
      <c r="C90" s="249"/>
      <c r="D90" s="249"/>
      <c r="E90" s="249"/>
      <c r="F90" s="249"/>
      <c r="G90" s="249"/>
      <c r="H90" s="249"/>
      <c r="I90" s="249"/>
      <c r="J90" s="249"/>
      <c r="K90" s="249"/>
      <c r="L90" s="249"/>
      <c r="M90" s="249"/>
      <c r="N90" s="249"/>
      <c r="O90" s="249"/>
      <c r="P90" s="249"/>
      <c r="Q90" s="249"/>
      <c r="R90" s="249"/>
      <c r="S90" s="249"/>
      <c r="T90" s="249"/>
      <c r="U90" s="249"/>
      <c r="V90" s="249"/>
      <c r="W90" s="249"/>
      <c r="X90" s="249"/>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4" t="s">
        <v>220</v>
      </c>
      <c r="B92" s="214"/>
      <c r="C92" s="215"/>
      <c r="D92" s="215"/>
      <c r="E92" s="215"/>
      <c r="F92" s="215"/>
      <c r="G92" s="215"/>
      <c r="H92" s="215"/>
      <c r="I92" s="215"/>
      <c r="J92" s="215"/>
      <c r="K92" s="215"/>
      <c r="L92" s="215"/>
      <c r="M92" s="215"/>
      <c r="N92" s="215"/>
      <c r="O92" s="215"/>
      <c r="P92" s="215"/>
      <c r="Q92" s="215"/>
      <c r="R92" s="215"/>
      <c r="S92" s="215"/>
      <c r="T92" s="215"/>
      <c r="U92" s="215"/>
      <c r="V92" s="215"/>
      <c r="W92" s="215"/>
      <c r="X92" s="215"/>
    </row>
    <row r="93" spans="1:24" ht="12.75" customHeight="1" x14ac:dyDescent="0.2">
      <c r="A93" s="225" t="s">
        <v>221</v>
      </c>
      <c r="B93" s="225"/>
      <c r="C93" s="226"/>
      <c r="D93" s="226"/>
      <c r="E93" s="226"/>
      <c r="F93" s="226"/>
      <c r="G93" s="226"/>
      <c r="H93" s="226"/>
      <c r="I93" s="226"/>
      <c r="J93" s="226"/>
      <c r="K93" s="226"/>
      <c r="L93" s="226"/>
      <c r="M93" s="226"/>
      <c r="N93" s="226"/>
      <c r="O93" s="226"/>
      <c r="P93" s="226"/>
      <c r="Q93" s="226"/>
      <c r="R93" s="226"/>
      <c r="S93" s="226"/>
      <c r="T93" s="226"/>
      <c r="U93" s="226"/>
      <c r="V93" s="226"/>
      <c r="W93" s="226"/>
      <c r="X93" s="226"/>
    </row>
    <row r="94" spans="1:24" ht="12.75" customHeight="1" x14ac:dyDescent="0.2">
      <c r="A94" s="214" t="s">
        <v>222</v>
      </c>
      <c r="B94" s="214"/>
      <c r="C94" s="215"/>
      <c r="D94" s="215"/>
      <c r="E94" s="215"/>
      <c r="F94" s="215"/>
      <c r="G94" s="215"/>
      <c r="H94" s="215"/>
      <c r="I94" s="215"/>
      <c r="J94" s="215"/>
      <c r="K94" s="215"/>
      <c r="L94" s="215"/>
      <c r="M94" s="215"/>
      <c r="N94" s="215"/>
      <c r="O94" s="215"/>
      <c r="P94" s="215"/>
      <c r="Q94" s="215"/>
      <c r="R94" s="215"/>
      <c r="S94" s="215"/>
      <c r="T94" s="215"/>
      <c r="U94" s="215"/>
      <c r="V94" s="215"/>
      <c r="W94" s="215"/>
      <c r="X94" s="215"/>
    </row>
    <row r="95" spans="1:24" x14ac:dyDescent="0.2">
      <c r="A95" s="214" t="s">
        <v>223</v>
      </c>
      <c r="B95" s="214"/>
      <c r="C95" s="215"/>
      <c r="D95" s="215"/>
      <c r="E95" s="215"/>
      <c r="F95" s="215"/>
      <c r="G95" s="215"/>
      <c r="H95" s="215"/>
      <c r="I95" s="215"/>
      <c r="J95" s="215"/>
      <c r="K95" s="215"/>
      <c r="L95" s="215"/>
      <c r="M95" s="215"/>
      <c r="N95" s="215"/>
      <c r="O95" s="215"/>
      <c r="P95" s="215"/>
      <c r="Q95" s="215"/>
      <c r="R95" s="215"/>
      <c r="S95" s="215"/>
      <c r="T95" s="215"/>
      <c r="U95" s="215"/>
      <c r="V95" s="215"/>
      <c r="W95" s="215"/>
      <c r="X95" s="215"/>
    </row>
    <row r="96" spans="1:24" ht="12.75" customHeight="1" x14ac:dyDescent="0.2">
      <c r="A96" s="225"/>
      <c r="B96" s="225"/>
      <c r="C96" s="226"/>
      <c r="D96" s="226"/>
      <c r="E96" s="226"/>
      <c r="F96" s="226"/>
      <c r="G96" s="226"/>
      <c r="H96" s="226"/>
      <c r="I96" s="226"/>
      <c r="J96" s="226"/>
      <c r="K96" s="226"/>
      <c r="L96" s="226"/>
      <c r="M96" s="226"/>
      <c r="N96" s="226"/>
      <c r="O96" s="226"/>
      <c r="P96" s="226"/>
      <c r="Q96" s="226"/>
      <c r="R96" s="226"/>
      <c r="S96" s="226"/>
      <c r="T96" s="226"/>
      <c r="U96" s="226"/>
      <c r="V96" s="226"/>
      <c r="W96" s="226"/>
      <c r="X96" s="226"/>
    </row>
    <row r="97" spans="1:24" x14ac:dyDescent="0.2">
      <c r="A97" s="248" t="s">
        <v>224</v>
      </c>
      <c r="B97" s="248"/>
      <c r="C97" s="249"/>
      <c r="D97" s="249"/>
      <c r="E97" s="249"/>
      <c r="F97" s="249"/>
      <c r="G97" s="249"/>
      <c r="H97" s="249"/>
      <c r="I97" s="249"/>
      <c r="J97" s="249"/>
      <c r="K97" s="249"/>
      <c r="L97" s="249"/>
      <c r="M97" s="249"/>
      <c r="N97" s="249"/>
      <c r="O97" s="249"/>
      <c r="P97" s="249"/>
      <c r="Q97" s="249"/>
      <c r="R97" s="249"/>
      <c r="S97" s="249"/>
      <c r="T97" s="249"/>
      <c r="U97" s="249"/>
      <c r="V97" s="249"/>
      <c r="W97" s="249"/>
      <c r="X97" s="249"/>
    </row>
    <row r="98" spans="1:24" ht="12.75" customHeight="1" x14ac:dyDescent="0.2">
      <c r="A98" s="225"/>
      <c r="B98" s="225"/>
      <c r="C98" s="226"/>
      <c r="D98" s="226"/>
      <c r="E98" s="226"/>
      <c r="F98" s="226"/>
      <c r="G98" s="226"/>
      <c r="H98" s="226"/>
      <c r="I98" s="226"/>
      <c r="J98" s="226"/>
      <c r="K98" s="226"/>
      <c r="L98" s="226"/>
      <c r="M98" s="226"/>
      <c r="N98" s="226"/>
      <c r="O98" s="226"/>
      <c r="P98" s="226"/>
      <c r="Q98" s="226"/>
      <c r="R98" s="226"/>
      <c r="S98" s="226"/>
      <c r="T98" s="226"/>
      <c r="U98" s="226"/>
      <c r="V98" s="226"/>
      <c r="W98" s="226"/>
      <c r="X98" s="226"/>
    </row>
    <row r="99" spans="1:24" ht="12.75" customHeight="1" x14ac:dyDescent="0.2">
      <c r="A99" s="214" t="s">
        <v>225</v>
      </c>
      <c r="B99" s="214"/>
      <c r="C99" s="215"/>
      <c r="D99" s="215"/>
      <c r="E99" s="215"/>
      <c r="F99" s="215"/>
      <c r="G99" s="215"/>
      <c r="H99" s="215"/>
      <c r="I99" s="215"/>
      <c r="J99" s="215"/>
      <c r="K99" s="215"/>
      <c r="L99" s="215"/>
      <c r="M99" s="215"/>
      <c r="N99" s="215"/>
      <c r="O99" s="215"/>
      <c r="P99" s="215"/>
      <c r="Q99" s="215"/>
      <c r="R99" s="215"/>
      <c r="S99" s="215"/>
      <c r="T99" s="215"/>
      <c r="U99" s="215"/>
      <c r="V99" s="215"/>
      <c r="W99" s="215"/>
      <c r="X99" s="215"/>
    </row>
    <row r="100" spans="1:24" ht="12.75" customHeight="1" x14ac:dyDescent="0.2">
      <c r="A100" s="214" t="s">
        <v>226</v>
      </c>
      <c r="B100" s="214"/>
      <c r="C100" s="215"/>
      <c r="D100" s="215"/>
      <c r="E100" s="215"/>
      <c r="F100" s="215"/>
      <c r="G100" s="215"/>
      <c r="H100" s="215"/>
      <c r="I100" s="215"/>
      <c r="J100" s="215"/>
      <c r="K100" s="215"/>
      <c r="L100" s="215"/>
      <c r="M100" s="215"/>
      <c r="N100" s="215"/>
      <c r="O100" s="215"/>
      <c r="P100" s="215"/>
      <c r="Q100" s="215"/>
      <c r="R100" s="215"/>
      <c r="S100" s="215"/>
      <c r="T100" s="215"/>
      <c r="U100" s="215"/>
      <c r="V100" s="215"/>
      <c r="W100" s="215"/>
      <c r="X100" s="215"/>
    </row>
    <row r="101" spans="1:24" x14ac:dyDescent="0.2">
      <c r="A101" s="214" t="s">
        <v>227</v>
      </c>
      <c r="B101" s="214"/>
      <c r="C101" s="215"/>
      <c r="D101" s="215"/>
      <c r="E101" s="215"/>
      <c r="F101" s="215"/>
      <c r="G101" s="215"/>
      <c r="H101" s="215"/>
      <c r="I101" s="215"/>
      <c r="J101" s="215"/>
      <c r="K101" s="215"/>
      <c r="L101" s="215"/>
      <c r="M101" s="215"/>
      <c r="N101" s="215"/>
      <c r="O101" s="215"/>
      <c r="P101" s="215"/>
      <c r="Q101" s="215"/>
      <c r="R101" s="215"/>
      <c r="S101" s="215"/>
      <c r="T101" s="215"/>
      <c r="U101" s="215"/>
      <c r="V101" s="215"/>
      <c r="W101" s="215"/>
      <c r="X101" s="215"/>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0.21390000000000001</v>
      </c>
    </row>
    <row r="109" spans="1:24" x14ac:dyDescent="0.2">
      <c r="A109"/>
      <c r="F109"/>
      <c r="G109" s="23"/>
      <c r="H109" s="23"/>
      <c r="L109" s="1" t="s">
        <v>133</v>
      </c>
      <c r="P109" s="23"/>
      <c r="S109" s="175">
        <f ca="1">U38</f>
        <v>0.16789999999999999</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3" t="str">
        <f>A28</f>
        <v>Nº OPERAÇÃO</v>
      </c>
      <c r="B220" s="205"/>
      <c r="C220" s="203" t="str">
        <f>C28</f>
        <v>GESTOR</v>
      </c>
      <c r="D220" s="204"/>
      <c r="E220" s="205"/>
      <c r="F220" s="203" t="str">
        <f>F28</f>
        <v>PROGRAMA</v>
      </c>
      <c r="G220" s="204"/>
      <c r="H220" s="204"/>
      <c r="I220" s="205"/>
      <c r="J220" s="203" t="str">
        <f>J28</f>
        <v>AÇÃO / MODALIDADE</v>
      </c>
      <c r="K220" s="204"/>
      <c r="L220" s="204"/>
      <c r="M220" s="204"/>
      <c r="N220" s="204"/>
      <c r="O220" s="205"/>
      <c r="P220" s="203" t="str">
        <f>P28</f>
        <v>OBJETO</v>
      </c>
      <c r="Q220" s="204"/>
      <c r="R220" s="204"/>
      <c r="S220" s="204"/>
      <c r="T220" s="204"/>
      <c r="U220" s="204"/>
      <c r="V220" s="204"/>
      <c r="W220" s="204"/>
      <c r="X220" s="205"/>
    </row>
    <row r="221" spans="1:24" ht="12.75" customHeight="1" x14ac:dyDescent="0.2">
      <c r="A221" s="200" t="str">
        <f>IF(A29="","",A29)</f>
        <v>VER REQ. COMP.</v>
      </c>
      <c r="B221" s="202"/>
      <c r="C221" s="200" t="str">
        <f>IF(C29="","",C29)</f>
        <v>SEGIMU</v>
      </c>
      <c r="D221" s="201"/>
      <c r="E221" s="202"/>
      <c r="F221" s="200" t="str">
        <f>IF(F29="","",F29)</f>
        <v>REGISTRO DE PREÇO MANUTENÇÃO</v>
      </c>
      <c r="G221" s="201"/>
      <c r="H221" s="201"/>
      <c r="I221" s="202"/>
      <c r="J221" s="200" t="str">
        <f>IF(J29="","",J29)</f>
        <v>MANUTENÇÃO ABRIGO PASSAGEIROS ÔNIBUS E TÁXI</v>
      </c>
      <c r="K221" s="201"/>
      <c r="L221" s="201" t="e">
        <f>IF(#REF!="","",#REF!)</f>
        <v>#REF!</v>
      </c>
      <c r="M221" s="201"/>
      <c r="N221" s="201" t="e">
        <f>IF(#REF!="","",#REF!)</f>
        <v>#REF!</v>
      </c>
      <c r="O221" s="202"/>
      <c r="P221" s="200" t="str">
        <f>IF(P29="","",P29)</f>
        <v>SERVIÇOS COMUNS DE ENGENHARIA P/ MANUTNEÇÃO ABRIGOS PASSAGEIROS ONIBUS TAXI</v>
      </c>
      <c r="Q221" s="201"/>
      <c r="R221" s="201"/>
      <c r="S221" s="201"/>
      <c r="T221" s="201"/>
      <c r="U221" s="201"/>
      <c r="V221" s="201"/>
      <c r="W221" s="201"/>
      <c r="X221" s="202"/>
    </row>
    <row r="222" spans="1:24" ht="6" customHeight="1" x14ac:dyDescent="0.2">
      <c r="A222"/>
      <c r="B222"/>
      <c r="F222"/>
      <c r="G222"/>
      <c r="H222"/>
    </row>
    <row r="223" spans="1:24" x14ac:dyDescent="0.2">
      <c r="A223" s="203" t="str">
        <f>A31</f>
        <v>PROPONENTE / TOMADOR</v>
      </c>
      <c r="B223" s="204"/>
      <c r="C223" s="204"/>
      <c r="D223" s="204"/>
      <c r="E223" s="204"/>
      <c r="F223" s="204"/>
      <c r="G223" s="203" t="str">
        <f>G31</f>
        <v>MUNICÍPIO / UF</v>
      </c>
      <c r="H223" s="204"/>
      <c r="I223" s="204"/>
      <c r="J223" s="205"/>
      <c r="K223" s="203" t="str">
        <f>K31</f>
        <v>LOCALIDADE / ENDEREÇO</v>
      </c>
      <c r="L223" s="204"/>
      <c r="M223" s="204"/>
      <c r="N223" s="204"/>
      <c r="O223" s="204"/>
      <c r="P223" s="205"/>
      <c r="Q223" s="203" t="str">
        <f>Q31</f>
        <v>APELIDO DO EMPREENDIMENTO</v>
      </c>
      <c r="R223" s="204"/>
      <c r="S223" s="204"/>
      <c r="T223" s="204"/>
      <c r="U223" s="204"/>
      <c r="V223" s="204"/>
      <c r="W223" s="204"/>
      <c r="X223" s="205"/>
    </row>
    <row r="224" spans="1:24" ht="12.75" customHeight="1" x14ac:dyDescent="0.2">
      <c r="A224" s="234" t="str">
        <f>IF(A32="","",A32)</f>
        <v>MUNICIPIO DE BENTO GONÇALVES</v>
      </c>
      <c r="B224" s="235"/>
      <c r="C224" s="235"/>
      <c r="D224" s="235"/>
      <c r="E224" s="235"/>
      <c r="F224" s="235"/>
      <c r="G224" s="200" t="str">
        <f>IF(G32="","",G32)</f>
        <v>BENTO GONÇALVES/RS</v>
      </c>
      <c r="H224" s="201" t="str">
        <f>IF(I32="","",I32)</f>
        <v/>
      </c>
      <c r="I224" s="201"/>
      <c r="J224" s="202" t="e">
        <f>IF(#REF!="","",#REF!)</f>
        <v>#REF!</v>
      </c>
      <c r="K224" s="200" t="str">
        <f>IF(K32="","",K32)</f>
        <v>PERIMETRO URBANO E RURAL DO MUNICIPIO</v>
      </c>
      <c r="L224" s="201"/>
      <c r="M224" s="201"/>
      <c r="N224" s="201"/>
      <c r="O224" s="201"/>
      <c r="P224" s="202"/>
      <c r="Q224" s="200" t="str">
        <f>IF(Q32="","",Q32)</f>
        <v>ANEXO I TR - MANUTENÇÃO ABRIGO PASSAGEIROS ÔNIBUS E TÁXI</v>
      </c>
      <c r="R224" s="201"/>
      <c r="S224" s="201"/>
      <c r="T224" s="201"/>
      <c r="U224" s="201"/>
      <c r="V224" s="201"/>
      <c r="W224" s="201"/>
      <c r="X224" s="202"/>
    </row>
    <row r="225" spans="1:24" ht="6" hidden="1" customHeight="1" x14ac:dyDescent="0.2">
      <c r="A225"/>
      <c r="B225"/>
      <c r="F225"/>
      <c r="G225"/>
      <c r="H225"/>
    </row>
    <row r="226" spans="1:24" hidden="1" x14ac:dyDescent="0.2">
      <c r="A226" s="203" t="str">
        <f>A37</f>
        <v>DATA BASE</v>
      </c>
      <c r="B226" s="205"/>
      <c r="C226" s="78" t="str">
        <f>C37</f>
        <v>DESON.</v>
      </c>
      <c r="D226" s="203" t="str">
        <f>D37</f>
        <v>LOCALIDADE DO SINAPI</v>
      </c>
      <c r="E226" s="204"/>
      <c r="F226" s="205"/>
      <c r="G226" s="203" t="str">
        <f>G37</f>
        <v>DESCRIÇÃO DO LOTE</v>
      </c>
      <c r="H226" s="204"/>
      <c r="I226" s="204"/>
      <c r="J226" s="204"/>
      <c r="K226" s="204"/>
      <c r="L226" s="204"/>
      <c r="M226" s="204"/>
      <c r="N226" s="204"/>
      <c r="O226" s="204"/>
      <c r="P226" s="204"/>
      <c r="Q226" s="204"/>
      <c r="R226" s="204"/>
      <c r="S226" s="205"/>
      <c r="T226" s="79" t="str">
        <f>T37</f>
        <v>BDI 1</v>
      </c>
      <c r="U226" s="79" t="str">
        <f>U37</f>
        <v>BDI 2</v>
      </c>
      <c r="V226" s="79" t="str">
        <f>V37</f>
        <v>BDI 3</v>
      </c>
      <c r="W226" s="79" t="str">
        <f>W37</f>
        <v>BDI 4</v>
      </c>
      <c r="X226" s="79" t="str">
        <f>X37</f>
        <v>BDI 5</v>
      </c>
    </row>
    <row r="227" spans="1:24" ht="12.75" hidden="1" customHeight="1" x14ac:dyDescent="0.2">
      <c r="A227" s="240">
        <f>IF(A38="","",A38)</f>
        <v>45627</v>
      </c>
      <c r="B227" s="241"/>
      <c r="C227" s="115" t="str">
        <f t="shared" ref="C227:X227" si="0">IF(C38="","",C38)</f>
        <v>Não</v>
      </c>
      <c r="D227" s="227" t="str">
        <f t="shared" si="0"/>
        <v>Porto Alegre / RS</v>
      </c>
      <c r="E227" s="231" t="str">
        <f t="shared" si="0"/>
        <v/>
      </c>
      <c r="F227" s="228" t="str">
        <f t="shared" si="0"/>
        <v/>
      </c>
      <c r="G227" s="227" t="str">
        <f t="shared" si="0"/>
        <v>LOTE 01 - REGISTRO DE PREÇO PARA MANUTENÇÃO ABRIGO PASSAGEIROS ÔNIBUS E TÁXI</v>
      </c>
      <c r="H227" s="231" t="str">
        <f t="shared" si="0"/>
        <v/>
      </c>
      <c r="I227" s="231" t="str">
        <f t="shared" si="0"/>
        <v/>
      </c>
      <c r="J227" s="231" t="str">
        <f t="shared" si="0"/>
        <v/>
      </c>
      <c r="K227" s="231" t="str">
        <f t="shared" si="0"/>
        <v/>
      </c>
      <c r="L227" s="231" t="str">
        <f t="shared" si="0"/>
        <v/>
      </c>
      <c r="M227" s="231" t="str">
        <f t="shared" si="0"/>
        <v/>
      </c>
      <c r="N227" s="231" t="str">
        <f t="shared" si="0"/>
        <v/>
      </c>
      <c r="O227" s="231" t="str">
        <f t="shared" si="0"/>
        <v/>
      </c>
      <c r="P227" s="231" t="str">
        <f t="shared" si="0"/>
        <v/>
      </c>
      <c r="Q227" s="231" t="str">
        <f t="shared" si="0"/>
        <v/>
      </c>
      <c r="R227" s="231" t="str">
        <f t="shared" si="0"/>
        <v/>
      </c>
      <c r="S227" s="228" t="str">
        <f t="shared" si="0"/>
        <v/>
      </c>
      <c r="T227" s="117">
        <f t="shared" ca="1" si="0"/>
        <v>0.21390000000000001</v>
      </c>
      <c r="U227" s="81">
        <f t="shared" ca="1" si="0"/>
        <v>0.16789999999999999</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3" t="s">
        <v>87</v>
      </c>
      <c r="B229" s="205"/>
      <c r="C229" s="203" t="s">
        <v>163</v>
      </c>
      <c r="D229" s="204"/>
      <c r="E229" s="204"/>
      <c r="F229" s="204"/>
      <c r="G229" s="204"/>
      <c r="H229" s="203" t="s">
        <v>16</v>
      </c>
      <c r="I229" s="204"/>
      <c r="J229" s="20" t="s">
        <v>91</v>
      </c>
      <c r="K229" s="203" t="s">
        <v>88</v>
      </c>
      <c r="L229" s="204"/>
      <c r="M229" s="205"/>
      <c r="N229" s="20" t="s">
        <v>92</v>
      </c>
      <c r="O229" s="203" t="s">
        <v>93</v>
      </c>
      <c r="P229" s="204"/>
      <c r="Q229" s="204"/>
      <c r="R229" s="204"/>
      <c r="S229" s="204"/>
      <c r="T229" s="205"/>
      <c r="U229" s="236" t="s">
        <v>89</v>
      </c>
      <c r="V229" s="237"/>
      <c r="W229" s="236" t="s">
        <v>90</v>
      </c>
      <c r="X229" s="237"/>
    </row>
    <row r="230" spans="1:24" ht="12.75" customHeight="1" x14ac:dyDescent="0.2">
      <c r="A230" s="227" t="str">
        <f>IF(A43="","",A43)</f>
        <v/>
      </c>
      <c r="B230" s="228"/>
      <c r="C230" s="227" t="str">
        <f>IF(C43="","",C43)</f>
        <v/>
      </c>
      <c r="D230" s="231"/>
      <c r="E230" s="231" t="str">
        <f>IF(E43="","",E43)</f>
        <v/>
      </c>
      <c r="F230" s="231"/>
      <c r="G230" s="231" t="str">
        <f>IF(G43="","",G43)</f>
        <v/>
      </c>
      <c r="H230" s="232" t="str">
        <f>IF(H43="","",H43)</f>
        <v/>
      </c>
      <c r="I230" s="233" t="str">
        <f>IF(I43="","",I43)</f>
        <v/>
      </c>
      <c r="J230" s="116" t="str">
        <f>IF(J43="","",J43)</f>
        <v/>
      </c>
      <c r="K230" s="219" t="str">
        <f>IF(K43="","",K43)</f>
        <v/>
      </c>
      <c r="L230" s="221"/>
      <c r="M230" s="222" t="str">
        <f>IF(M43="","",M43)</f>
        <v/>
      </c>
      <c r="N230" s="118" t="str">
        <f>IF(N43="","",N43)</f>
        <v/>
      </c>
      <c r="O230" s="219" t="str">
        <f>IF(O43="","",O43)</f>
        <v/>
      </c>
      <c r="P230" s="220"/>
      <c r="Q230" s="220" t="str">
        <f>IF(Q43="","",Q43)</f>
        <v/>
      </c>
      <c r="R230" s="221"/>
      <c r="S230" s="221" t="str">
        <f>IF(S43="","",S43)</f>
        <v/>
      </c>
      <c r="T230" s="222"/>
      <c r="U230" s="229" t="str">
        <f>IF(U43="","",U43)</f>
        <v/>
      </c>
      <c r="V230" s="230"/>
      <c r="W230" s="223" t="str">
        <f>IF(W43="","",W43)</f>
        <v/>
      </c>
      <c r="X230" s="224"/>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algorithmName="SHA-512" hashValue="I89+Xq9OUElQDChffTtpzes+5WC/rG8BIz6R/JNwhkNyBtGO3cnmn0nnk17Z57QHfcs/sBuUGKccM+C1VsYDCw==" saltValue="plFERBnDa6ohpd9w55MeaQ==" spinCount="100000"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131" priority="42" stopIfTrue="1">
      <formula>$B54&lt;&gt;""</formula>
    </cfRule>
  </conditionalFormatting>
  <conditionalFormatting sqref="A48 H54:K54 H55:H56 H57:K57 A29:C29 J29 F29 A32 P29 G32 K32">
    <cfRule type="expression" dxfId="130" priority="48" stopIfTrue="1">
      <formula>A29&lt;&gt;""</formula>
    </cfRule>
  </conditionalFormatting>
  <conditionalFormatting sqref="G53:K54 G55:H56 G57:K57">
    <cfRule type="expression" dxfId="129" priority="43" stopIfTrue="1">
      <formula>$K$52&lt;&gt;"SIM"</formula>
    </cfRule>
  </conditionalFormatting>
  <conditionalFormatting sqref="A40:X43">
    <cfRule type="expression" dxfId="128" priority="56" stopIfTrue="1">
      <formula>OR(TipoOrçamento="BASE",TipoOrçamento="REPROGRAMADONPL")</formula>
    </cfRule>
    <cfRule type="expression" dxfId="127" priority="57" stopIfTrue="1">
      <formula>A40&lt;&gt;""</formula>
    </cfRule>
  </conditionalFormatting>
  <conditionalFormatting sqref="A35:X38">
    <cfRule type="expression" dxfId="126" priority="58" stopIfTrue="1">
      <formula>OR(TipoOrçamento="LICITADO",TipoOrçamento="REPROGRAMADOAC")</formula>
    </cfRule>
    <cfRule type="expression" dxfId="125" priority="59" stopIfTrue="1">
      <formula>A35&lt;&gt;""</formula>
    </cfRule>
  </conditionalFormatting>
  <conditionalFormatting sqref="Q32">
    <cfRule type="expression" dxfId="124"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0" zoomScaleSheetLayoutView="100" zoomScalePageLayoutView="70" workbookViewId="0">
      <selection activeCell="N23" sqref="N23"/>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3" t="s">
        <v>150</v>
      </c>
      <c r="J4" s="205"/>
      <c r="K4" s="203" t="s">
        <v>173</v>
      </c>
      <c r="L4" s="204"/>
      <c r="M4" s="204"/>
      <c r="N4" s="204"/>
      <c r="O4" s="204"/>
      <c r="P4" s="204"/>
      <c r="Q4" s="204"/>
      <c r="R4" s="20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89" t="str">
        <f>DADOS!A29</f>
        <v>VER REQ. COMP.</v>
      </c>
      <c r="J5" s="290"/>
      <c r="K5" s="291" t="str">
        <f>DADOS!A32</f>
        <v>MUNICIPIO DE BENTO GONÇALVES</v>
      </c>
      <c r="L5" s="292"/>
      <c r="M5" s="292"/>
      <c r="N5" s="292"/>
      <c r="O5" s="292"/>
      <c r="P5" s="292"/>
      <c r="Q5" s="292"/>
      <c r="R5" s="290"/>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3" t="s">
        <v>0</v>
      </c>
      <c r="J7" s="204"/>
      <c r="K7" s="204"/>
      <c r="L7" s="204"/>
      <c r="M7" s="204"/>
      <c r="N7" s="204"/>
      <c r="O7" s="204"/>
      <c r="P7" s="204"/>
      <c r="Q7" s="204"/>
      <c r="R7" s="20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3" t="str">
        <f>DADOS!P29</f>
        <v>SERVIÇOS COMUNS DE ENGENHARIA P/ MANUTNEÇÃO ABRIGOS PASSAGEIROS ONIBUS TAXI</v>
      </c>
      <c r="J8" s="293"/>
      <c r="K8" s="293"/>
      <c r="L8" s="293"/>
      <c r="M8" s="293"/>
      <c r="N8" s="293"/>
      <c r="O8" s="293"/>
      <c r="P8" s="293"/>
      <c r="Q8" s="293"/>
      <c r="R8" s="293"/>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3" t="s">
        <v>35</v>
      </c>
      <c r="J10" s="204"/>
      <c r="K10" s="204"/>
      <c r="L10" s="204"/>
      <c r="M10" s="204"/>
      <c r="N10" s="204"/>
      <c r="O10" s="204"/>
      <c r="P10" s="204"/>
      <c r="Q10" s="203" t="s">
        <v>13</v>
      </c>
      <c r="R10" s="20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4" t="s">
        <v>28</v>
      </c>
      <c r="J11" s="285"/>
      <c r="K11" s="285"/>
      <c r="L11" s="285"/>
      <c r="M11" s="285"/>
      <c r="N11" s="285"/>
      <c r="O11" s="285"/>
      <c r="P11" s="286"/>
      <c r="Q11" s="287" t="str">
        <f>DADOS!$C$38</f>
        <v>Não</v>
      </c>
      <c r="R11" s="288"/>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2" t="s">
        <v>36</v>
      </c>
      <c r="J13" s="282"/>
      <c r="K13" s="282"/>
      <c r="L13" s="282"/>
      <c r="M13" s="282"/>
      <c r="N13" s="282"/>
      <c r="O13" s="282"/>
      <c r="P13" s="282"/>
      <c r="Q13" s="279">
        <v>0.45</v>
      </c>
      <c r="R13" s="279"/>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0" t="s">
        <v>38</v>
      </c>
      <c r="J14" s="280"/>
      <c r="K14" s="280"/>
      <c r="L14" s="280"/>
      <c r="M14" s="280"/>
      <c r="N14" s="280"/>
      <c r="O14" s="280"/>
      <c r="P14" s="280"/>
      <c r="Q14" s="279">
        <v>0.03</v>
      </c>
      <c r="R14" s="279"/>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1" t="s">
        <v>39</v>
      </c>
      <c r="J16" s="281"/>
      <c r="K16" s="281"/>
      <c r="L16" s="281"/>
      <c r="M16" s="281" t="s">
        <v>40</v>
      </c>
      <c r="N16" s="283" t="s">
        <v>41</v>
      </c>
      <c r="O16" s="283" t="s">
        <v>42</v>
      </c>
      <c r="P16" s="281" t="s">
        <v>43</v>
      </c>
      <c r="Q16" s="281" t="s">
        <v>44</v>
      </c>
      <c r="R16" s="298" t="s">
        <v>45</v>
      </c>
      <c r="T16" s="294" t="str">
        <f>IF(V27,"Para BDI fora do intervalo estatístico, deve ser apresentado Relatório Técnico Circunstanciado justificando a adoção do percentual de cada parcela do BDI.","")</f>
        <v/>
      </c>
      <c r="U16" s="294"/>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1"/>
      <c r="J17" s="281"/>
      <c r="K17" s="281"/>
      <c r="L17" s="281"/>
      <c r="M17" s="281"/>
      <c r="N17" s="283"/>
      <c r="O17" s="283"/>
      <c r="P17" s="281"/>
      <c r="Q17" s="281"/>
      <c r="R17" s="298"/>
      <c r="T17" s="294"/>
      <c r="U17" s="294"/>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6" t="str">
        <f>IF($I$11=$A$59,"Encargos Sociais incidentes sobre a mão de obra","Administração Central")</f>
        <v>Administração Central</v>
      </c>
      <c r="J18" s="296"/>
      <c r="K18" s="296"/>
      <c r="L18" s="296"/>
      <c r="M18" s="50" t="str">
        <f>IF($I$11=$A$59,"K1","AC")</f>
        <v>AC</v>
      </c>
      <c r="N18" s="51">
        <v>0.04</v>
      </c>
      <c r="O18" s="52" t="s">
        <v>46</v>
      </c>
      <c r="P18" s="53">
        <f>VLOOKUP(CONCATENATE(I$11,"-",M18),$C$2:$G$49,3,FALSE)</f>
        <v>0.03</v>
      </c>
      <c r="Q18" s="53">
        <f>VLOOKUP(CONCATENATE(I$11,"-",M18),$C$2:$G$49,4,FALSE)</f>
        <v>0.04</v>
      </c>
      <c r="R18" s="53">
        <f>VLOOKUP(CONCATENATE(I$11,"-",M18),$C$2:$G$49,5,FALSE)</f>
        <v>5.5E-2</v>
      </c>
      <c r="T18" s="294"/>
      <c r="U18" s="294"/>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6" t="str">
        <f>IF($I$11=$A$59,"Administração Central da empresa ou consultoria - overhead","Seguro e Garantia")</f>
        <v>Seguro e Garantia</v>
      </c>
      <c r="J19" s="296"/>
      <c r="K19" s="296"/>
      <c r="L19" s="296"/>
      <c r="M19" s="50" t="str">
        <f>IF($I$11=$A$59,"K2","SG")</f>
        <v>SG</v>
      </c>
      <c r="N19" s="51">
        <v>8.0000000000000002E-3</v>
      </c>
      <c r="O19" s="52" t="s">
        <v>46</v>
      </c>
      <c r="P19" s="53">
        <f>VLOOKUP(CONCATENATE(I$11,"-",M19),$C$2:$G$49,3,FALSE)</f>
        <v>8.0000000000000002E-3</v>
      </c>
      <c r="Q19" s="53">
        <f>VLOOKUP(CONCATENATE(I$11,"-",M19),$C$2:$G$49,4,FALSE)</f>
        <v>8.0000000000000002E-3</v>
      </c>
      <c r="R19" s="53">
        <f>VLOOKUP(CONCATENATE(I$11,"-",M19),$C$2:$G$49,5,FALSE)</f>
        <v>0.01</v>
      </c>
      <c r="T19" s="294"/>
      <c r="U19" s="294"/>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6" t="str">
        <f>IF($I$11=$A$59,"","Risco")</f>
        <v>Risco</v>
      </c>
      <c r="J20" s="296"/>
      <c r="K20" s="296"/>
      <c r="L20" s="296"/>
      <c r="M20" s="50" t="str">
        <f>IF($I$11=$A$59,"","R")</f>
        <v>R</v>
      </c>
      <c r="N20" s="51">
        <v>1.2699999999999999E-2</v>
      </c>
      <c r="O20" s="52" t="s">
        <v>46</v>
      </c>
      <c r="P20" s="53">
        <f>VLOOKUP(CONCATENATE(I$11,"-",M20),$C$2:$G$49,3,FALSE)</f>
        <v>9.7000000000000003E-3</v>
      </c>
      <c r="Q20" s="53">
        <f>VLOOKUP(CONCATENATE(I$11,"-",M20),$C$2:$G$49,4,FALSE)</f>
        <v>1.2699999999999999E-2</v>
      </c>
      <c r="R20" s="53">
        <f>VLOOKUP(CONCATENATE(I$11,"-",M20),$C$2:$G$49,5,FALSE)</f>
        <v>1.2699999999999999E-2</v>
      </c>
      <c r="T20" s="294"/>
      <c r="U20" s="294"/>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6" t="str">
        <f>IF($I$11=$A$59,"","Despesas Financeiras")</f>
        <v>Despesas Financeiras</v>
      </c>
      <c r="J21" s="296"/>
      <c r="K21" s="296"/>
      <c r="L21" s="296"/>
      <c r="M21" s="50" t="str">
        <f>IF($I$11=$A$59,"","DF")</f>
        <v>DF</v>
      </c>
      <c r="N21" s="51">
        <v>1.23E-2</v>
      </c>
      <c r="O21" s="52" t="s">
        <v>46</v>
      </c>
      <c r="P21" s="53">
        <f>VLOOKUP(CONCATENATE(I$11,"-",M21),$C$2:$G$49,3,FALSE)</f>
        <v>5.8999999999999999E-3</v>
      </c>
      <c r="Q21" s="53">
        <f>VLOOKUP(CONCATENATE(I$11,"-",M21),$C$2:$G$49,4,FALSE)</f>
        <v>1.23E-2</v>
      </c>
      <c r="R21" s="53">
        <f>VLOOKUP(CONCATENATE(I$11,"-",M21),$C$2:$G$49,5,FALSE)</f>
        <v>1.3899999999999999E-2</v>
      </c>
      <c r="T21" s="294"/>
      <c r="U21" s="294"/>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6" t="str">
        <f>IF($I$11=$A$59,"Margem bruta da empresa de consultoria","Lucro")</f>
        <v>Lucro</v>
      </c>
      <c r="J22" s="296"/>
      <c r="K22" s="296"/>
      <c r="L22" s="296"/>
      <c r="M22" s="50" t="str">
        <f>IF($I$11=$A$59,"K3","L")</f>
        <v>L</v>
      </c>
      <c r="N22" s="51">
        <v>7.3999999999999996E-2</v>
      </c>
      <c r="O22" s="52" t="s">
        <v>46</v>
      </c>
      <c r="P22" s="53">
        <f>VLOOKUP(CONCATENATE(I$11,"-",M22),$C$2:$G$49,3,FALSE)</f>
        <v>6.1600000000000002E-2</v>
      </c>
      <c r="Q22" s="53">
        <f>VLOOKUP(CONCATENATE(I$11,"-",M22),$C$2:$G$49,4,FALSE)</f>
        <v>7.400000000000001E-2</v>
      </c>
      <c r="R22" s="53">
        <f>VLOOKUP(CONCATENATE(I$11,"-",M22),$C$2:$G$49,5,FALSE)</f>
        <v>8.9600000000000013E-2</v>
      </c>
      <c r="T22" s="294"/>
      <c r="U22" s="294"/>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7" t="s">
        <v>48</v>
      </c>
      <c r="J23" s="297"/>
      <c r="K23" s="297"/>
      <c r="L23" s="297"/>
      <c r="M23" s="50" t="s">
        <v>49</v>
      </c>
      <c r="N23" s="51">
        <v>3.6499999999999998E-2</v>
      </c>
      <c r="O23" s="52" t="s">
        <v>46</v>
      </c>
      <c r="P23" s="53">
        <v>3.6499999999999998E-2</v>
      </c>
      <c r="Q23" s="53">
        <v>3.6499999999999998E-2</v>
      </c>
      <c r="R23" s="53">
        <v>3.6499999999999998E-2</v>
      </c>
      <c r="T23" s="294"/>
      <c r="U23" s="294"/>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6" t="s">
        <v>50</v>
      </c>
      <c r="J24" s="296"/>
      <c r="K24" s="296"/>
      <c r="L24" s="296"/>
      <c r="M24" s="50" t="s">
        <v>51</v>
      </c>
      <c r="N24" s="53">
        <f>IF($I$11&lt;&gt;$A$58,Q14*Q13,0)</f>
        <v>1.35E-2</v>
      </c>
      <c r="O24" s="52" t="s">
        <v>46</v>
      </c>
      <c r="P24" s="53">
        <v>0</v>
      </c>
      <c r="Q24" s="53">
        <v>2.5000000000000001E-2</v>
      </c>
      <c r="R24" s="53">
        <v>0.05</v>
      </c>
      <c r="T24" s="294"/>
      <c r="U24" s="294"/>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6" t="s">
        <v>116</v>
      </c>
      <c r="J25" s="296"/>
      <c r="K25" s="296"/>
      <c r="L25" s="296"/>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6" t="s">
        <v>53</v>
      </c>
      <c r="J26" s="296"/>
      <c r="K26" s="296"/>
      <c r="L26" s="296"/>
      <c r="M26" s="55" t="s">
        <v>33</v>
      </c>
      <c r="N26" s="53">
        <f>IF($I$11=$A$58,0,ROUND((((1+N18+N19+N20)*(1+N21)*(1+N22)/(1-(N23+N24)))-1),4))</f>
        <v>0.21390000000000001</v>
      </c>
      <c r="O26" s="91" t="str">
        <f>IF(OR($I$11=$A$59,$I$11=$A$58,AND(N26&gt;=P26, N26&lt;=R26)), "OK", "FORA DO INTERVALO")</f>
        <v>OK</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7" t="s">
        <v>55</v>
      </c>
      <c r="J27" s="307"/>
      <c r="K27" s="307"/>
      <c r="L27" s="307"/>
      <c r="M27" s="56" t="s">
        <v>56</v>
      </c>
      <c r="N27" s="57">
        <f>IF($I$11=$A$58,0,ROUND((((1+N18+N19+N20)*(1+N21)*(1+N22)/(1-(N23+N24+N25)))-1),4))</f>
        <v>0.21390000000000001</v>
      </c>
      <c r="O27" s="95" t="str">
        <f>IF(Q11&lt;&gt;"Sim","",O26)</f>
        <v/>
      </c>
      <c r="P27" s="308"/>
      <c r="Q27" s="308"/>
      <c r="R27" s="308"/>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6" t="s">
        <v>117</v>
      </c>
      <c r="K29" s="306"/>
      <c r="L29" s="306"/>
      <c r="M29" s="306"/>
      <c r="N29" s="306"/>
      <c r="O29" s="306"/>
      <c r="P29" s="306"/>
      <c r="Q29" s="306"/>
      <c r="R29" s="306"/>
      <c r="V29" s="96" t="b">
        <v>0</v>
      </c>
      <c r="W29" s="42" t="s">
        <v>119</v>
      </c>
    </row>
    <row r="30" spans="1:31" ht="7.5" customHeight="1" x14ac:dyDescent="0.2">
      <c r="B30" s="44"/>
      <c r="E30" s="45"/>
      <c r="F30" s="45"/>
      <c r="G30" s="45"/>
      <c r="V30" s="96"/>
    </row>
    <row r="31" spans="1:31" ht="18.75" customHeight="1" x14ac:dyDescent="0.2">
      <c r="B31" s="44"/>
      <c r="E31" s="45"/>
      <c r="F31" s="45"/>
      <c r="G31" s="45"/>
      <c r="I31" s="309" t="s">
        <v>61</v>
      </c>
      <c r="J31" s="309"/>
      <c r="K31" s="309"/>
      <c r="L31" s="309"/>
      <c r="M31" s="309"/>
      <c r="N31" s="309"/>
      <c r="O31" s="309"/>
      <c r="P31" s="309"/>
      <c r="Q31" s="309"/>
      <c r="R31" s="309"/>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4" t="str">
        <f>IF(Q11="Sim","BDI.DES =","BDI.PAD =")</f>
        <v>BDI.PAD =</v>
      </c>
      <c r="M32" s="302" t="str">
        <f>IF($I$11=$A$59,"(1+K1+K2)*(1+K3)","(1+AC + S + R + G)*(1 + DF)*(1+L)")</f>
        <v>(1+AC + S + R + G)*(1 + DF)*(1+L)</v>
      </c>
      <c r="N32" s="302"/>
      <c r="O32" s="302"/>
      <c r="P32" s="300"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4"/>
      <c r="M33" s="303" t="str">
        <f>IF(Q11="Sim","(1-CP-ISS-CRPB)","(1-CP-ISS)")</f>
        <v>(1-CP-ISS)</v>
      </c>
      <c r="N33" s="303"/>
      <c r="O33" s="303"/>
      <c r="P33" s="301"/>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9"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45%, com a respectiva alíquota de 3%.</v>
      </c>
      <c r="J35" s="299"/>
      <c r="K35" s="299"/>
      <c r="L35" s="299"/>
      <c r="M35" s="299"/>
      <c r="N35" s="299"/>
      <c r="O35" s="299"/>
      <c r="P35" s="299"/>
      <c r="Q35" s="299"/>
      <c r="R35" s="299"/>
    </row>
    <row r="36" spans="1:18" ht="11.25" customHeight="1" x14ac:dyDescent="0.2">
      <c r="B36" s="49"/>
      <c r="E36" s="45"/>
      <c r="F36" s="45"/>
      <c r="G36" s="45"/>
    </row>
    <row r="37" spans="1:18" ht="52.5" customHeight="1" x14ac:dyDescent="0.2">
      <c r="B37" s="49"/>
      <c r="E37" s="45"/>
      <c r="F37" s="45"/>
      <c r="G37" s="45"/>
      <c r="I37" s="299"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9"/>
      <c r="K37" s="299"/>
      <c r="L37" s="299"/>
      <c r="M37" s="299"/>
      <c r="N37" s="299"/>
      <c r="O37" s="299"/>
      <c r="P37" s="299"/>
      <c r="Q37" s="299"/>
      <c r="R37" s="299"/>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1" t="s">
        <v>232</v>
      </c>
      <c r="J40" s="312"/>
      <c r="K40" s="312"/>
      <c r="L40" s="312"/>
      <c r="M40" s="312"/>
      <c r="N40" s="312"/>
      <c r="O40" s="312"/>
      <c r="P40" s="312"/>
      <c r="Q40" s="312"/>
      <c r="R40" s="313"/>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5" t="str">
        <f>PO!K43</f>
        <v>BENTO GONÇALVES/RS</v>
      </c>
      <c r="J42" s="295"/>
      <c r="K42" s="295"/>
      <c r="L42" s="295"/>
      <c r="O42" s="310">
        <f ca="1">PO!K46</f>
        <v>45735</v>
      </c>
      <c r="P42" s="310"/>
      <c r="Q42" s="310"/>
      <c r="R42" s="310"/>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8" t="s">
        <v>120</v>
      </c>
      <c r="J43" s="278"/>
      <c r="K43" s="278"/>
      <c r="L43" s="278"/>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7"/>
      <c r="J45" s="277"/>
      <c r="K45" s="277"/>
      <c r="L45" s="277"/>
      <c r="M45" s="59"/>
      <c r="N45" s="59"/>
      <c r="O45" s="277"/>
      <c r="P45" s="277"/>
      <c r="Q45" s="277"/>
      <c r="R45" s="277"/>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4" t="s">
        <v>57</v>
      </c>
      <c r="J46" s="314"/>
      <c r="K46" s="314"/>
      <c r="L46" s="314"/>
      <c r="O46" s="314" t="s">
        <v>58</v>
      </c>
      <c r="P46" s="314"/>
      <c r="Q46" s="314"/>
      <c r="R46" s="314"/>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5">
        <f>DADOS!B54</f>
        <v>0</v>
      </c>
      <c r="K47" s="305"/>
      <c r="L47" s="305"/>
      <c r="M47" s="59"/>
      <c r="N47" s="59"/>
      <c r="O47" s="21" t="s">
        <v>140</v>
      </c>
      <c r="P47" s="276"/>
      <c r="Q47" s="276"/>
      <c r="R47" s="276"/>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5">
        <f>DADOS!B55</f>
        <v>0</v>
      </c>
      <c r="K48" s="305"/>
      <c r="L48" s="305"/>
      <c r="M48" s="59"/>
      <c r="N48" s="59"/>
      <c r="O48" s="21" t="s">
        <v>60</v>
      </c>
      <c r="P48" s="276"/>
      <c r="Q48" s="276"/>
      <c r="R48" s="276"/>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5">
        <f>DADOS!B56</f>
        <v>0</v>
      </c>
      <c r="K49" s="305"/>
      <c r="L49" s="305"/>
      <c r="M49" s="59"/>
      <c r="N49" s="59"/>
      <c r="O49" s="59"/>
      <c r="P49" s="59"/>
      <c r="Q49" s="59"/>
      <c r="R49" s="59"/>
    </row>
    <row r="50" spans="1:18" x14ac:dyDescent="0.2">
      <c r="I50" s="21" t="str">
        <f>DADOS!A57</f>
        <v>CNPJ:</v>
      </c>
      <c r="J50" s="305">
        <f>DADOS!B57</f>
        <v>0</v>
      </c>
      <c r="K50" s="305"/>
      <c r="L50" s="305"/>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123" priority="6" stopIfTrue="1">
      <formula>$O$42=""</formula>
    </cfRule>
  </conditionalFormatting>
  <conditionalFormatting sqref="O18:O27">
    <cfRule type="expression" dxfId="122" priority="11" stopIfTrue="1">
      <formula>AND(O18&lt;&gt;"OK",O18&lt;&gt;"-",O18&lt;&gt;"")</formula>
    </cfRule>
    <cfRule type="cellIs" dxfId="121" priority="12" stopIfTrue="1" operator="equal">
      <formula>"OK"</formula>
    </cfRule>
  </conditionalFormatting>
  <conditionalFormatting sqref="I26:N26">
    <cfRule type="expression" dxfId="120" priority="10" stopIfTrue="1">
      <formula>$Q$11="Não"</formula>
    </cfRule>
  </conditionalFormatting>
  <conditionalFormatting sqref="I27:N27">
    <cfRule type="expression" dxfId="119" priority="9" stopIfTrue="1">
      <formula>$Q$11="sim"</formula>
    </cfRule>
  </conditionalFormatting>
  <conditionalFormatting sqref="P27:R27">
    <cfRule type="expression" dxfId="118" priority="8" stopIfTrue="1">
      <formula>$Q$11="sim"</formula>
    </cfRule>
  </conditionalFormatting>
  <conditionalFormatting sqref="P47:R48">
    <cfRule type="expression" dxfId="117" priority="7" stopIfTrue="1">
      <formula>P47=""</formula>
    </cfRule>
  </conditionalFormatting>
  <conditionalFormatting sqref="I29:R29">
    <cfRule type="expression" dxfId="116" priority="3" stopIfTrue="1">
      <formula>AND(NOT($V$27),NOT($V$29))</formula>
    </cfRule>
  </conditionalFormatting>
  <conditionalFormatting sqref="P18:R26">
    <cfRule type="expression" dxfId="115"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5">
    <tabColor rgb="FFFFFF00"/>
    <pageSetUpPr fitToPage="1"/>
  </sheetPr>
  <dimension ref="A1:AE60"/>
  <sheetViews>
    <sheetView showGridLines="0" topLeftCell="I23" zoomScaleSheetLayoutView="100" zoomScalePageLayoutView="70" workbookViewId="0">
      <selection activeCell="N21" sqref="N21"/>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3" t="s">
        <v>150</v>
      </c>
      <c r="J4" s="205"/>
      <c r="K4" s="203" t="s">
        <v>173</v>
      </c>
      <c r="L4" s="204"/>
      <c r="M4" s="204"/>
      <c r="N4" s="204"/>
      <c r="O4" s="204"/>
      <c r="P4" s="204"/>
      <c r="Q4" s="204"/>
      <c r="R4" s="20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89" t="str">
        <f>DADOS!A29</f>
        <v>VER REQ. COMP.</v>
      </c>
      <c r="J5" s="290"/>
      <c r="K5" s="291" t="str">
        <f>DADOS!A32</f>
        <v>MUNICIPIO DE BENTO GONÇALVES</v>
      </c>
      <c r="L5" s="292"/>
      <c r="M5" s="292"/>
      <c r="N5" s="292"/>
      <c r="O5" s="292"/>
      <c r="P5" s="292"/>
      <c r="Q5" s="292"/>
      <c r="R5" s="290"/>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3" t="s">
        <v>0</v>
      </c>
      <c r="J7" s="204"/>
      <c r="K7" s="204"/>
      <c r="L7" s="204"/>
      <c r="M7" s="204"/>
      <c r="N7" s="204"/>
      <c r="O7" s="204"/>
      <c r="P7" s="204"/>
      <c r="Q7" s="204"/>
      <c r="R7" s="20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3" t="str">
        <f>DADOS!P29</f>
        <v>SERVIÇOS COMUNS DE ENGENHARIA P/ MANUTNEÇÃO ABRIGOS PASSAGEIROS ONIBUS TAXI</v>
      </c>
      <c r="J8" s="293"/>
      <c r="K8" s="293"/>
      <c r="L8" s="293"/>
      <c r="M8" s="293"/>
      <c r="N8" s="293"/>
      <c r="O8" s="293"/>
      <c r="P8" s="293"/>
      <c r="Q8" s="293"/>
      <c r="R8" s="293"/>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3" t="s">
        <v>35</v>
      </c>
      <c r="J10" s="204"/>
      <c r="K10" s="204"/>
      <c r="L10" s="204"/>
      <c r="M10" s="204"/>
      <c r="N10" s="204"/>
      <c r="O10" s="204"/>
      <c r="P10" s="204"/>
      <c r="Q10" s="203" t="s">
        <v>13</v>
      </c>
      <c r="R10" s="20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4" t="s">
        <v>137</v>
      </c>
      <c r="J11" s="285"/>
      <c r="K11" s="285"/>
      <c r="L11" s="285"/>
      <c r="M11" s="285"/>
      <c r="N11" s="285"/>
      <c r="O11" s="285"/>
      <c r="P11" s="286"/>
      <c r="Q11" s="287" t="str">
        <f>DADOS!$C$38</f>
        <v>Não</v>
      </c>
      <c r="R11" s="288"/>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2" t="s">
        <v>36</v>
      </c>
      <c r="J13" s="282"/>
      <c r="K13" s="282"/>
      <c r="L13" s="282"/>
      <c r="M13" s="282"/>
      <c r="N13" s="282"/>
      <c r="O13" s="282"/>
      <c r="P13" s="282"/>
      <c r="Q13" s="279">
        <v>0.45</v>
      </c>
      <c r="R13" s="279"/>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0" t="s">
        <v>38</v>
      </c>
      <c r="J14" s="280"/>
      <c r="K14" s="280"/>
      <c r="L14" s="280"/>
      <c r="M14" s="280"/>
      <c r="N14" s="280"/>
      <c r="O14" s="280"/>
      <c r="P14" s="280"/>
      <c r="Q14" s="279">
        <v>0.03</v>
      </c>
      <c r="R14" s="279"/>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1" t="s">
        <v>39</v>
      </c>
      <c r="J16" s="281"/>
      <c r="K16" s="281"/>
      <c r="L16" s="281"/>
      <c r="M16" s="281" t="s">
        <v>40</v>
      </c>
      <c r="N16" s="283" t="s">
        <v>41</v>
      </c>
      <c r="O16" s="283" t="s">
        <v>42</v>
      </c>
      <c r="P16" s="281" t="s">
        <v>43</v>
      </c>
      <c r="Q16" s="281" t="s">
        <v>44</v>
      </c>
      <c r="R16" s="298" t="s">
        <v>45</v>
      </c>
      <c r="T16" s="294" t="str">
        <f>IF(V27,"Para BDI fora do intervalo estatístico, deve ser apresentado Relatório Técnico Circunstanciado justificando a adoção do percentual de cada parcela do BDI.","")</f>
        <v/>
      </c>
      <c r="U16" s="294"/>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1"/>
      <c r="J17" s="281"/>
      <c r="K17" s="281"/>
      <c r="L17" s="281"/>
      <c r="M17" s="281"/>
      <c r="N17" s="283"/>
      <c r="O17" s="283"/>
      <c r="P17" s="281"/>
      <c r="Q17" s="281"/>
      <c r="R17" s="298"/>
      <c r="T17" s="294"/>
      <c r="U17" s="294"/>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6" t="str">
        <f>IF($I$11=$A$59,"Encargos Sociais incidentes sobre a mão de obra","Administração Central")</f>
        <v>Administração Central</v>
      </c>
      <c r="J18" s="296"/>
      <c r="K18" s="296"/>
      <c r="L18" s="296"/>
      <c r="M18" s="50" t="str">
        <f>IF($I$11=$A$59,"K1","AC")</f>
        <v>AC</v>
      </c>
      <c r="N18" s="51">
        <v>3.4500000000000003E-2</v>
      </c>
      <c r="O18" s="52" t="s">
        <v>46</v>
      </c>
      <c r="P18" s="53">
        <f>VLOOKUP(CONCATENATE(I$11,"-",M18),$C$2:$G$49,3,FALSE)</f>
        <v>1.4999999999999999E-2</v>
      </c>
      <c r="Q18" s="53">
        <f>VLOOKUP(CONCATENATE(I$11,"-",M18),$C$2:$G$49,4,FALSE)</f>
        <v>3.4500000000000003E-2</v>
      </c>
      <c r="R18" s="53">
        <f>VLOOKUP(CONCATENATE(I$11,"-",M18),$C$2:$G$49,5,FALSE)</f>
        <v>4.4900000000000002E-2</v>
      </c>
      <c r="T18" s="294"/>
      <c r="U18" s="294"/>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6" t="str">
        <f>IF($I$11=$A$59,"Administração Central da empresa ou consultoria - overhead","Seguro e Garantia")</f>
        <v>Seguro e Garantia</v>
      </c>
      <c r="J19" s="296"/>
      <c r="K19" s="296"/>
      <c r="L19" s="296"/>
      <c r="M19" s="50" t="str">
        <f>IF($I$11=$A$59,"K2","SG")</f>
        <v>SG</v>
      </c>
      <c r="N19" s="51">
        <v>4.7999999999999996E-3</v>
      </c>
      <c r="O19" s="52" t="s">
        <v>46</v>
      </c>
      <c r="P19" s="53">
        <f>VLOOKUP(CONCATENATE(I$11,"-",M19),$C$2:$G$49,3,FALSE)</f>
        <v>3.0000000000000001E-3</v>
      </c>
      <c r="Q19" s="53">
        <f>VLOOKUP(CONCATENATE(I$11,"-",M19),$C$2:$G$49,4,FALSE)</f>
        <v>4.7999999999999996E-3</v>
      </c>
      <c r="R19" s="53">
        <f>VLOOKUP(CONCATENATE(I$11,"-",M19),$C$2:$G$49,5,FALSE)</f>
        <v>8.199999999999999E-3</v>
      </c>
      <c r="T19" s="294"/>
      <c r="U19" s="294"/>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6" t="str">
        <f>IF($I$11=$A$59,"","Risco")</f>
        <v>Risco</v>
      </c>
      <c r="J20" s="296"/>
      <c r="K20" s="296"/>
      <c r="L20" s="296"/>
      <c r="M20" s="50" t="str">
        <f>IF($I$11=$A$59,"","R")</f>
        <v>R</v>
      </c>
      <c r="N20" s="51">
        <v>8.5000000000000006E-3</v>
      </c>
      <c r="O20" s="52" t="s">
        <v>46</v>
      </c>
      <c r="P20" s="53">
        <f>VLOOKUP(CONCATENATE(I$11,"-",M20),$C$2:$G$49,3,FALSE)</f>
        <v>5.6000000000000008E-3</v>
      </c>
      <c r="Q20" s="53">
        <f>VLOOKUP(CONCATENATE(I$11,"-",M20),$C$2:$G$49,4,FALSE)</f>
        <v>8.5000000000000006E-3</v>
      </c>
      <c r="R20" s="53">
        <f>VLOOKUP(CONCATENATE(I$11,"-",M20),$C$2:$G$49,5,FALSE)</f>
        <v>8.8999999999999999E-3</v>
      </c>
      <c r="T20" s="294"/>
      <c r="U20" s="294"/>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6" t="str">
        <f>IF($I$11=$A$59,"","Despesas Financeiras")</f>
        <v>Despesas Financeiras</v>
      </c>
      <c r="J21" s="296"/>
      <c r="K21" s="296"/>
      <c r="L21" s="296"/>
      <c r="M21" s="50" t="str">
        <f>IF($I$11=$A$59,"","DF")</f>
        <v>DF</v>
      </c>
      <c r="N21" s="51">
        <v>8.5000000000000006E-3</v>
      </c>
      <c r="O21" s="52" t="s">
        <v>46</v>
      </c>
      <c r="P21" s="53">
        <f>VLOOKUP(CONCATENATE(I$11,"-",M21),$C$2:$G$49,3,FALSE)</f>
        <v>8.5000000000000006E-3</v>
      </c>
      <c r="Q21" s="53">
        <f>VLOOKUP(CONCATENATE(I$11,"-",M21),$C$2:$G$49,4,FALSE)</f>
        <v>8.5000000000000006E-3</v>
      </c>
      <c r="R21" s="53">
        <f>VLOOKUP(CONCATENATE(I$11,"-",M21),$C$2:$G$49,5,FALSE)</f>
        <v>1.11E-2</v>
      </c>
      <c r="T21" s="294"/>
      <c r="U21" s="294"/>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6" t="str">
        <f>IF($I$11=$A$59,"Margem bruta da empresa de consultoria","Lucro")</f>
        <v>Lucro</v>
      </c>
      <c r="J22" s="296"/>
      <c r="K22" s="296"/>
      <c r="L22" s="296"/>
      <c r="M22" s="50" t="str">
        <f>IF($I$11=$A$59,"K3","L")</f>
        <v>L</v>
      </c>
      <c r="N22" s="51">
        <v>0.05</v>
      </c>
      <c r="O22" s="52" t="s">
        <v>46</v>
      </c>
      <c r="P22" s="53">
        <f>VLOOKUP(CONCATENATE(I$11,"-",M22),$C$2:$G$49,3,FALSE)</f>
        <v>3.5000000000000003E-2</v>
      </c>
      <c r="Q22" s="53">
        <f>VLOOKUP(CONCATENATE(I$11,"-",M22),$C$2:$G$49,4,FALSE)</f>
        <v>5.1100000000000007E-2</v>
      </c>
      <c r="R22" s="53">
        <f>VLOOKUP(CONCATENATE(I$11,"-",M22),$C$2:$G$49,5,FALSE)</f>
        <v>6.2199999999999998E-2</v>
      </c>
      <c r="T22" s="294"/>
      <c r="U22" s="294"/>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7" t="s">
        <v>48</v>
      </c>
      <c r="J23" s="297"/>
      <c r="K23" s="297"/>
      <c r="L23" s="297"/>
      <c r="M23" s="50" t="s">
        <v>49</v>
      </c>
      <c r="N23" s="51">
        <v>3.6499999999999998E-2</v>
      </c>
      <c r="O23" s="52" t="s">
        <v>46</v>
      </c>
      <c r="P23" s="53">
        <v>3.6499999999999998E-2</v>
      </c>
      <c r="Q23" s="53">
        <v>3.6499999999999998E-2</v>
      </c>
      <c r="R23" s="53">
        <v>3.6499999999999998E-2</v>
      </c>
      <c r="T23" s="294"/>
      <c r="U23" s="294"/>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6" t="s">
        <v>50</v>
      </c>
      <c r="J24" s="296"/>
      <c r="K24" s="296"/>
      <c r="L24" s="296"/>
      <c r="M24" s="50" t="s">
        <v>51</v>
      </c>
      <c r="N24" s="53">
        <f>IF($I$11&lt;&gt;$A$58,Q14*Q13,0)</f>
        <v>1.35E-2</v>
      </c>
      <c r="O24" s="52" t="s">
        <v>46</v>
      </c>
      <c r="P24" s="53">
        <v>0</v>
      </c>
      <c r="Q24" s="53">
        <v>2.5000000000000001E-2</v>
      </c>
      <c r="R24" s="53">
        <v>0.05</v>
      </c>
      <c r="T24" s="294"/>
      <c r="U24" s="294"/>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6" t="s">
        <v>116</v>
      </c>
      <c r="J25" s="296"/>
      <c r="K25" s="296"/>
      <c r="L25" s="296"/>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6" t="s">
        <v>53</v>
      </c>
      <c r="J26" s="296"/>
      <c r="K26" s="296"/>
      <c r="L26" s="296"/>
      <c r="M26" s="55" t="s">
        <v>33</v>
      </c>
      <c r="N26" s="53">
        <f>IF($I$11=$A$58,0,ROUND((((1+N18+N19+N20)*(1+N21)*(1+N22)/(1-(N23+N24)))-1),4))</f>
        <v>0.16789999999999999</v>
      </c>
      <c r="O26" s="91" t="str">
        <f>IF(OR($I$11=$A$59,$I$11=$A$58,AND(N26&gt;=P26, N26&lt;=R26)), "OK", "FORA DO INTERVALO")</f>
        <v>OK</v>
      </c>
      <c r="P26" s="53">
        <f>IF($I$11=$A$58,0,VLOOKUP(CONCATENATE($I$11,"-",$M26),$C$2:$G$49,3,FALSE))</f>
        <v>0.111</v>
      </c>
      <c r="Q26" s="53">
        <f>IF($I$11=$A$58,0,VLOOKUP(CONCATENATE($I$11,"-",$M26),$C$2:$G$49,4,FALSE))</f>
        <v>0.14019999999999999</v>
      </c>
      <c r="R26" s="53">
        <f>IF($I$11=$A$58,0,VLOOKUP(CONCATENATE($I$11,"-",$M26),$C$2:$G$49,5,FALSE))</f>
        <v>0.16800000000000001</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7" t="s">
        <v>55</v>
      </c>
      <c r="J27" s="307"/>
      <c r="K27" s="307"/>
      <c r="L27" s="307"/>
      <c r="M27" s="56" t="s">
        <v>56</v>
      </c>
      <c r="N27" s="57">
        <f>IF($I$11=$A$58,0,ROUND((((1+N18+N19+N20)*(1+N21)*(1+N22)/(1-(N23+N24+N25)))-1),4))</f>
        <v>0.16789999999999999</v>
      </c>
      <c r="O27" s="95" t="str">
        <f>IF(Q11&lt;&gt;"Sim","",O26)</f>
        <v/>
      </c>
      <c r="P27" s="308"/>
      <c r="Q27" s="308"/>
      <c r="R27" s="308"/>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6" t="s">
        <v>117</v>
      </c>
      <c r="K29" s="306"/>
      <c r="L29" s="306"/>
      <c r="M29" s="306"/>
      <c r="N29" s="306"/>
      <c r="O29" s="306"/>
      <c r="P29" s="306"/>
      <c r="Q29" s="306"/>
      <c r="R29" s="306"/>
      <c r="V29" s="96" t="b">
        <v>0</v>
      </c>
      <c r="W29" s="42" t="s">
        <v>119</v>
      </c>
    </row>
    <row r="30" spans="1:31" ht="7.5" customHeight="1" x14ac:dyDescent="0.2">
      <c r="B30" s="44"/>
      <c r="E30" s="45"/>
      <c r="F30" s="45"/>
      <c r="G30" s="45"/>
      <c r="V30" s="96"/>
    </row>
    <row r="31" spans="1:31" ht="18.75" customHeight="1" x14ac:dyDescent="0.2">
      <c r="B31" s="44"/>
      <c r="E31" s="45"/>
      <c r="F31" s="45"/>
      <c r="G31" s="45"/>
      <c r="I31" s="309" t="s">
        <v>61</v>
      </c>
      <c r="J31" s="309"/>
      <c r="K31" s="309"/>
      <c r="L31" s="309"/>
      <c r="M31" s="309"/>
      <c r="N31" s="309"/>
      <c r="O31" s="309"/>
      <c r="P31" s="309"/>
      <c r="Q31" s="309"/>
      <c r="R31" s="309"/>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4" t="str">
        <f>IF(Q11="Sim","BDI.DES =","BDI.PAD =")</f>
        <v>BDI.PAD =</v>
      </c>
      <c r="M32" s="302" t="str">
        <f>IF($I$11=$A$59,"(1+K1+K2)*(1+K3)","(1+AC + S + R + G)*(1 + DF)*(1+L)")</f>
        <v>(1+AC + S + R + G)*(1 + DF)*(1+L)</v>
      </c>
      <c r="N32" s="302"/>
      <c r="O32" s="302"/>
      <c r="P32" s="300"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4"/>
      <c r="M33" s="303" t="str">
        <f>IF(Q11="Sim","(1-CP-ISS-CRPB)","(1-CP-ISS)")</f>
        <v>(1-CP-ISS)</v>
      </c>
      <c r="N33" s="303"/>
      <c r="O33" s="303"/>
      <c r="P33" s="301"/>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9"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45%, com a respectiva alíquota de 3%.</v>
      </c>
      <c r="J35" s="299"/>
      <c r="K35" s="299"/>
      <c r="L35" s="299"/>
      <c r="M35" s="299"/>
      <c r="N35" s="299"/>
      <c r="O35" s="299"/>
      <c r="P35" s="299"/>
      <c r="Q35" s="299"/>
      <c r="R35" s="299"/>
    </row>
    <row r="36" spans="1:18" ht="11.25" customHeight="1" x14ac:dyDescent="0.2">
      <c r="B36" s="49"/>
      <c r="E36" s="45"/>
      <c r="F36" s="45"/>
      <c r="G36" s="45"/>
    </row>
    <row r="37" spans="1:18" ht="52.5" customHeight="1" x14ac:dyDescent="0.2">
      <c r="B37" s="49"/>
      <c r="E37" s="45"/>
      <c r="F37" s="45"/>
      <c r="G37" s="45"/>
      <c r="I37" s="299"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9"/>
      <c r="K37" s="299"/>
      <c r="L37" s="299"/>
      <c r="M37" s="299"/>
      <c r="N37" s="299"/>
      <c r="O37" s="299"/>
      <c r="P37" s="299"/>
      <c r="Q37" s="299"/>
      <c r="R37" s="299"/>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1" t="s">
        <v>232</v>
      </c>
      <c r="J40" s="312"/>
      <c r="K40" s="312"/>
      <c r="L40" s="312"/>
      <c r="M40" s="312"/>
      <c r="N40" s="312"/>
      <c r="O40" s="312"/>
      <c r="P40" s="312"/>
      <c r="Q40" s="312"/>
      <c r="R40" s="313"/>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5" t="str">
        <f>PO!K43</f>
        <v>BENTO GONÇALVES/RS</v>
      </c>
      <c r="J42" s="295"/>
      <c r="K42" s="295"/>
      <c r="L42" s="295"/>
      <c r="O42" s="310">
        <f ca="1">PO!K46</f>
        <v>45735</v>
      </c>
      <c r="P42" s="310"/>
      <c r="Q42" s="310"/>
      <c r="R42" s="310"/>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8" t="s">
        <v>120</v>
      </c>
      <c r="J43" s="278"/>
      <c r="K43" s="278"/>
      <c r="L43" s="278"/>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7"/>
      <c r="J45" s="277"/>
      <c r="K45" s="277"/>
      <c r="L45" s="277"/>
      <c r="M45" s="59"/>
      <c r="N45" s="59"/>
      <c r="O45" s="277"/>
      <c r="P45" s="277"/>
      <c r="Q45" s="277"/>
      <c r="R45" s="277"/>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4" t="s">
        <v>57</v>
      </c>
      <c r="J46" s="314"/>
      <c r="K46" s="314"/>
      <c r="L46" s="314"/>
      <c r="O46" s="314" t="s">
        <v>58</v>
      </c>
      <c r="P46" s="314"/>
      <c r="Q46" s="314"/>
      <c r="R46" s="314"/>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5">
        <f>DADOS!B54</f>
        <v>0</v>
      </c>
      <c r="K47" s="305"/>
      <c r="L47" s="305"/>
      <c r="M47" s="59"/>
      <c r="N47" s="59"/>
      <c r="O47" s="21" t="s">
        <v>140</v>
      </c>
      <c r="P47" s="276"/>
      <c r="Q47" s="276"/>
      <c r="R47" s="276"/>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5">
        <f>DADOS!B55</f>
        <v>0</v>
      </c>
      <c r="K48" s="305"/>
      <c r="L48" s="305"/>
      <c r="M48" s="59"/>
      <c r="N48" s="59"/>
      <c r="O48" s="21" t="s">
        <v>60</v>
      </c>
      <c r="P48" s="276"/>
      <c r="Q48" s="276"/>
      <c r="R48" s="276"/>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5">
        <f>DADOS!B56</f>
        <v>0</v>
      </c>
      <c r="K49" s="305"/>
      <c r="L49" s="305"/>
      <c r="M49" s="59"/>
      <c r="N49" s="59"/>
      <c r="O49" s="59"/>
      <c r="P49" s="59"/>
      <c r="Q49" s="59"/>
      <c r="R49" s="59"/>
    </row>
    <row r="50" spans="1:18" x14ac:dyDescent="0.2">
      <c r="I50" s="21" t="str">
        <f>DADOS!A57</f>
        <v>CNPJ:</v>
      </c>
      <c r="J50" s="305">
        <f>DADOS!B57</f>
        <v>0</v>
      </c>
      <c r="K50" s="305"/>
      <c r="L50" s="305"/>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I8:R8"/>
    <mergeCell ref="I4:J4"/>
    <mergeCell ref="K4:R4"/>
    <mergeCell ref="I5:J5"/>
    <mergeCell ref="K5:R5"/>
    <mergeCell ref="I7:R7"/>
    <mergeCell ref="I10:P10"/>
    <mergeCell ref="Q10:R10"/>
    <mergeCell ref="I11:P11"/>
    <mergeCell ref="Q11:R11"/>
    <mergeCell ref="I13:P13"/>
    <mergeCell ref="Q13:R13"/>
    <mergeCell ref="I14:P14"/>
    <mergeCell ref="Q14:R14"/>
    <mergeCell ref="I16:L17"/>
    <mergeCell ref="M16:M17"/>
    <mergeCell ref="N16:N17"/>
    <mergeCell ref="O16:O17"/>
    <mergeCell ref="P16:P17"/>
    <mergeCell ref="Q16:Q17"/>
    <mergeCell ref="R16:R17"/>
    <mergeCell ref="T16:U24"/>
    <mergeCell ref="I18:L18"/>
    <mergeCell ref="I19:L19"/>
    <mergeCell ref="I20:L20"/>
    <mergeCell ref="I21:L21"/>
    <mergeCell ref="I22:L22"/>
    <mergeCell ref="I23:L23"/>
    <mergeCell ref="I24:L24"/>
    <mergeCell ref="I37:R37"/>
    <mergeCell ref="I25:L25"/>
    <mergeCell ref="I26:L26"/>
    <mergeCell ref="I27:L27"/>
    <mergeCell ref="P27:R27"/>
    <mergeCell ref="J29:R29"/>
    <mergeCell ref="I31:R31"/>
    <mergeCell ref="L32:L33"/>
    <mergeCell ref="M32:O32"/>
    <mergeCell ref="P32:P33"/>
    <mergeCell ref="M33:O33"/>
    <mergeCell ref="I35:R35"/>
    <mergeCell ref="I40:R40"/>
    <mergeCell ref="I42:L42"/>
    <mergeCell ref="O42:R42"/>
    <mergeCell ref="I43:L43"/>
    <mergeCell ref="I45:L45"/>
    <mergeCell ref="O45:R45"/>
    <mergeCell ref="J49:L49"/>
    <mergeCell ref="J50:L50"/>
    <mergeCell ref="I46:L46"/>
    <mergeCell ref="O46:R46"/>
    <mergeCell ref="J47:L47"/>
    <mergeCell ref="P47:R47"/>
    <mergeCell ref="J48:L48"/>
    <mergeCell ref="P48:R48"/>
  </mergeCells>
  <conditionalFormatting sqref="O42">
    <cfRule type="expression" dxfId="114" priority="3" stopIfTrue="1">
      <formula>$O$42=""</formula>
    </cfRule>
  </conditionalFormatting>
  <conditionalFormatting sqref="O18:O27">
    <cfRule type="expression" dxfId="113" priority="8" stopIfTrue="1">
      <formula>AND(O18&lt;&gt;"OK",O18&lt;&gt;"-",O18&lt;&gt;"")</formula>
    </cfRule>
    <cfRule type="cellIs" dxfId="112" priority="9" stopIfTrue="1" operator="equal">
      <formula>"OK"</formula>
    </cfRule>
  </conditionalFormatting>
  <conditionalFormatting sqref="I26:N26">
    <cfRule type="expression" dxfId="111" priority="7" stopIfTrue="1">
      <formula>$Q$11="Não"</formula>
    </cfRule>
  </conditionalFormatting>
  <conditionalFormatting sqref="I27:N27">
    <cfRule type="expression" dxfId="110" priority="6" stopIfTrue="1">
      <formula>$Q$11="sim"</formula>
    </cfRule>
  </conditionalFormatting>
  <conditionalFormatting sqref="P27:R27">
    <cfRule type="expression" dxfId="109" priority="5" stopIfTrue="1">
      <formula>$Q$11="sim"</formula>
    </cfRule>
  </conditionalFormatting>
  <conditionalFormatting sqref="P47:R48">
    <cfRule type="expression" dxfId="108" priority="4" stopIfTrue="1">
      <formula>P47=""</formula>
    </cfRule>
  </conditionalFormatting>
  <conditionalFormatting sqref="I29:R29">
    <cfRule type="expression" dxfId="107" priority="2" stopIfTrue="1">
      <formula>AND(NOT($V$27),NOT($V$29))</formula>
    </cfRule>
  </conditionalFormatting>
  <conditionalFormatting sqref="P18:R26">
    <cfRule type="expression" dxfId="106" priority="1" stopIfTrue="1">
      <formula>$I$11=$A$58</formula>
    </cfRule>
  </conditionalFormatting>
  <dataValidations count="6">
    <dataValidation type="decimal" allowBlank="1" showInputMessage="1" showErrorMessage="1" errorTitle="Erro de valores" error="Digite um valor entre 0% e 100%" sqref="N18:N23" xr:uid="{00000000-0002-0000-0200-000000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200-000001000000}">
      <formula1>0</formula1>
    </dataValidation>
    <dataValidation type="decimal" allowBlank="1" showInputMessage="1" showErrorMessage="1" errorTitle="Valor não permitido" error="Digite um percentual entre 0% e 100%." promptTitle="Valores admissíveis:" prompt="Insira valores entre 0 e 100%." sqref="Q13:R13" xr:uid="{00000000-0002-0000-0200-000002000000}">
      <formula1>0</formula1>
      <formula2>1</formula2>
    </dataValidation>
    <dataValidation type="decimal" allowBlank="1" showInputMessage="1" showErrorMessage="1" errorTitle="Erro de valores" error="Digite um valor maior do que 0." sqref="N24" xr:uid="{00000000-0002-0000-0200-000003000000}">
      <formula1>0</formula1>
      <formula2>1</formula2>
    </dataValidation>
    <dataValidation operator="greaterThanOrEqual" allowBlank="1" showInputMessage="1" showErrorMessage="1" errorTitle="Erro de valores" error="Digite um valor igual a 0% ou 2%." sqref="N25" xr:uid="{00000000-0002-0000-0200-000004000000}"/>
    <dataValidation type="list" allowBlank="1" showInputMessage="1" showErrorMessage="1" sqref="I11:P11" xr:uid="{00000000-0002-0000-0200-000005000000}">
      <formula1>$A$52:$A$59</formula1>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1">
    <tabColor rgb="FFFFFF00"/>
    <pageSetUpPr fitToPage="1"/>
  </sheetPr>
  <dimension ref="A1:AA47"/>
  <sheetViews>
    <sheetView showGridLines="0" tabSelected="1" topLeftCell="J1" zoomScale="90" zoomScaleNormal="90" zoomScaleSheetLayoutView="80" workbookViewId="0">
      <pane ySplit="11" topLeftCell="A12" activePane="bottomLeft" state="frozen"/>
      <selection activeCell="J1" sqref="J1"/>
      <selection pane="bottomLeft" activeCell="Y13" sqref="Y13:Y31"/>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5" t="s">
        <v>181</v>
      </c>
      <c r="X2" s="315"/>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MAX($A$12:$A$32)</f>
        <v>1</v>
      </c>
      <c r="B5" s="1"/>
      <c r="F5" s="2"/>
      <c r="G5" s="1"/>
      <c r="H5" s="1"/>
      <c r="I5" s="1"/>
      <c r="J5" s="1"/>
      <c r="K5" s="1"/>
      <c r="L5" s="1"/>
      <c r="M5" s="1"/>
      <c r="N5" s="1"/>
      <c r="O5" s="1"/>
      <c r="P5" s="1"/>
      <c r="Q5" s="1"/>
      <c r="R5" s="1"/>
      <c r="S5" s="1"/>
      <c r="T5" s="1"/>
      <c r="U5" s="101" t="str">
        <f ca="1">IF(COUNTIF($U$12:OFFSET($U$32,-1,0),"DESCRIÇÃO")+COUNTIF($U$12:OFFSET($U$32,-1,0),"UNIDADE")+COUNTIF($U$12:OFFSET($U$32,-1,0),"SEM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IF(OR($A11="S",$A11=0),0,MATCH(0,OFFSET($B11,1,$A11,ROW($A$32)-ROW($A11)),0))</f>
        <v>0</v>
      </c>
      <c r="I11">
        <f ca="1">IF(OR($A11="S",$A11=0),0,MATCH(OFFSET($B11,0,$A11)+1,OFFSET($B11,1,$A11,ROW($A$32)-ROW($A11)),0))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0.21390000000000001</v>
      </c>
      <c r="AA11" s="1"/>
    </row>
    <row r="12" spans="1:27" ht="25.5" x14ac:dyDescent="0.2">
      <c r="A12">
        <v>0</v>
      </c>
      <c r="B12">
        <f ca="1">COUNTA(OFFSET(B12,1,0):B$32)</f>
        <v>19</v>
      </c>
      <c r="J12" s="64" t="str">
        <f>IF(OR(TipoOrçamento="LICITADO",TipoOrçamento="REPROGRAMADOAC"),"CTEF","LOTE")</f>
        <v>CTEF</v>
      </c>
      <c r="K12" s="139">
        <v>0</v>
      </c>
      <c r="L12" s="6"/>
      <c r="M12" s="6"/>
      <c r="N12" s="73">
        <f>IF(TipoOrçamento="LICITADO",DADOS!O43,DADOS!G38)</f>
        <v>0</v>
      </c>
      <c r="O12" s="6"/>
      <c r="P12" s="7"/>
      <c r="Q12" s="7"/>
      <c r="R12" s="8"/>
      <c r="S12" s="7"/>
      <c r="T12" s="82">
        <f ca="1">SUMIF(OFFSET($J12,1,0,ROW(T32)-ROW(T12)-1),"Serviço",OFFSET(T12,1,0,ROW(T32)-ROW(T12)-1))</f>
        <v>0</v>
      </c>
      <c r="U12" s="9" t="str">
        <f>IF($N12=0,"DESCRIÇÃO","")</f>
        <v>DESCRIÇÃO</v>
      </c>
      <c r="V12" s="1">
        <v>0</v>
      </c>
      <c r="W12" s="1"/>
      <c r="X12" s="1"/>
      <c r="Y12" s="7"/>
      <c r="Z12" s="114"/>
      <c r="AA12" s="1"/>
    </row>
    <row r="13" spans="1:27" x14ac:dyDescent="0.2">
      <c r="A13">
        <f t="shared" ref="A13:A16" si="0">CHOOSE(1+LOG(1+2*(J13="Meta")+4*(J13="Nível 2")+8*(J13="Nível 3")+16*(J13="Nível 4")+32*(J13="Serviço"),2),0,1,2,3,4,"S")</f>
        <v>1</v>
      </c>
      <c r="B13">
        <f t="shared" ref="B13:B16" ca="1" si="1">IF(OR(A13="S",A13=0),0,IF(ISERROR(I13),H13,SMALL(H13:I13,1)))</f>
        <v>19</v>
      </c>
      <c r="C13">
        <f t="shared" ref="C13:C16" ca="1" si="2">IF($A13=1,OFFSET(C13,-1,0)+1,OFFSET(C13,-1,0))</f>
        <v>1</v>
      </c>
      <c r="D13">
        <f t="shared" ref="D13:D16" ca="1" si="3">IF($A13=1,0,IF($A13=2,OFFSET(D13,-1,0)+1,OFFSET(D13,-1,0)))</f>
        <v>0</v>
      </c>
      <c r="E13">
        <f t="shared" ref="E13:E16" ca="1" si="4">IF(AND($A13&lt;=2,$A13&lt;&gt;0),0,IF($A13=3,OFFSET(E13,-1,0)+1,OFFSET(E13,-1,0)))</f>
        <v>0</v>
      </c>
      <c r="F13">
        <f t="shared" ref="F13:F16" ca="1" si="5">IF(AND($A13&lt;=3,$A13&lt;&gt;0),0,IF($A13=4,OFFSET(F13,-1,0)+1,OFFSET(F13,-1,0)))</f>
        <v>0</v>
      </c>
      <c r="G13">
        <f t="shared" ref="G13:G16" ca="1" si="6">IF(AND($A13&lt;=4,$A13&lt;&gt;0),0,IF($A13="S",OFFSET(G13,-1,0)+1,OFFSET(G13,-1,0)))</f>
        <v>0</v>
      </c>
      <c r="H13">
        <f t="shared" ref="H13:H19" ca="1" si="7">IF(OR($A13="S",$A13=0),0,MATCH(0,OFFSET($B13,1,$A13,ROW($A$32)-ROW($A13)),0))</f>
        <v>19</v>
      </c>
      <c r="I13" t="e">
        <f t="shared" ref="I13:I19" ca="1" si="8">IF(OR($A13="S",$A13=0),0,MATCH(OFFSET($B13,0,$A13)+1,OFFSET($B13,1,$A13,ROW($A$32)-ROW($A13)),0))</f>
        <v>#N/A</v>
      </c>
      <c r="J13" s="353" t="s">
        <v>99</v>
      </c>
      <c r="K13" s="138" t="str">
        <f t="shared" ref="K13:K16" ca="1" si="9">IF($A13=0,"-",CONCATENATE(C13&amp;".",IF(AND($A$5&gt;=2,$A13&gt;=2),D13&amp;".",""),IF(AND($A$5&gt;=3,$A13&gt;=3),E13&amp;".",""),IF(AND($A$5&gt;=4,$A13&gt;=4),F13&amp;".",""),IF($A13="S",G13&amp;".","")))</f>
        <v>1.</v>
      </c>
      <c r="L13" s="355"/>
      <c r="M13" s="355"/>
      <c r="N13" s="356" t="s">
        <v>260</v>
      </c>
      <c r="O13" s="357"/>
      <c r="P13" s="358">
        <v>0</v>
      </c>
      <c r="Q13" s="195"/>
      <c r="R13" s="198" t="s">
        <v>7</v>
      </c>
      <c r="S13" s="103">
        <f t="shared" ref="S13:S16" si="10">IF($A13="S",IF($Q$10="Preço Unitário (R$)",PO.CustoUnitario,ROUND(PO.CustoUnitario*(1+$Z13),15-13*$X$6)),0)</f>
        <v>0</v>
      </c>
      <c r="T13" s="83">
        <f t="shared" ref="T13:T16" ca="1" si="11">IF($A13="S",VTOTAL1,IF($A13=0,0,ROUND(SomaAgrup,15-13*$X$7)))</f>
        <v>0</v>
      </c>
      <c r="U13" s="9" t="str">
        <f t="shared" ref="U13:U16" ca="1" si="12">IF($J13="","",IF($N13="","DESCRIÇÃO",IF(AND($J13="Serviço",$O13=""),"UNIDADE",IF($T13&lt;=0,"SEM VALOR",IF(AND($Y13&lt;&gt;"",$Q13&gt;$Y13),"ACIMA REF.","")))))</f>
        <v>SEM VALOR</v>
      </c>
      <c r="V13" s="1">
        <f ca="1">IF(OR($A13=0,$A13="S",$A13&gt;CFF!$A$9),"",MAX(V$12:OFFSET(V13,-1,0))+1)</f>
        <v>1</v>
      </c>
      <c r="W13" s="4" t="b">
        <f t="shared" ref="W13:W16" si="13">IF(AND($J13="Serviço",$M13&lt;&gt;""),IF($L13="",$M13,CONCATENATE($L13,"-",$M13)))</f>
        <v>0</v>
      </c>
      <c r="X13" s="1" t="str">
        <f t="shared" ref="X13:X16" ca="1" si="14">IF(AND(Fonte&lt;&gt;"",Código&lt;&gt;""),MATCH(Fonte&amp;" "&amp;IF(Fonte="sinapi",SUBSTITUTE(SUBSTITUTE(Código,"/00","/"),"/0","/"),Código),INDIRECT("'[Referência "&amp;_xlnm.Database&amp;".xls]Banco'!$a:$a"),0),"X")</f>
        <v>X</v>
      </c>
      <c r="Y13" s="103">
        <v>0</v>
      </c>
      <c r="Z13" s="113">
        <f ca="1">ROUND(IF(ISNUMBER(R13),R13,IF(LEFT(R13,3)="BDI",HLOOKUP(R13,DADOS!$T$37:$X$38,2,FALSE),0)),15-11*$X$5)</f>
        <v>0.21390000000000001</v>
      </c>
      <c r="AA13" s="1"/>
    </row>
    <row r="14" spans="1:27" x14ac:dyDescent="0.2">
      <c r="A14" t="str">
        <f t="shared" si="0"/>
        <v>S</v>
      </c>
      <c r="B14">
        <f t="shared" si="1"/>
        <v>0</v>
      </c>
      <c r="C14">
        <f t="shared" ca="1" si="2"/>
        <v>1</v>
      </c>
      <c r="D14">
        <f t="shared" ca="1" si="3"/>
        <v>0</v>
      </c>
      <c r="E14">
        <f t="shared" ca="1" si="4"/>
        <v>0</v>
      </c>
      <c r="F14">
        <f t="shared" ca="1" si="5"/>
        <v>0</v>
      </c>
      <c r="G14">
        <f t="shared" ca="1" si="6"/>
        <v>1</v>
      </c>
      <c r="H14">
        <f t="shared" ca="1" si="7"/>
        <v>0</v>
      </c>
      <c r="I14">
        <f t="shared" ca="1" si="8"/>
        <v>0</v>
      </c>
      <c r="J14" s="354" t="s">
        <v>103</v>
      </c>
      <c r="K14" s="138" t="str">
        <f t="shared" ca="1" si="9"/>
        <v>1.1.</v>
      </c>
      <c r="L14" s="355" t="s">
        <v>235</v>
      </c>
      <c r="M14" s="355" t="s">
        <v>236</v>
      </c>
      <c r="N14" s="356" t="s">
        <v>264</v>
      </c>
      <c r="O14" s="357" t="s">
        <v>282</v>
      </c>
      <c r="P14" s="358">
        <v>70</v>
      </c>
      <c r="Q14" s="195"/>
      <c r="R14" s="198" t="s">
        <v>7</v>
      </c>
      <c r="S14" s="103">
        <f t="shared" si="10"/>
        <v>0</v>
      </c>
      <c r="T14" s="83">
        <f t="shared" si="11"/>
        <v>0</v>
      </c>
      <c r="U14" s="9" t="str">
        <f t="shared" si="12"/>
        <v>SEM VALOR</v>
      </c>
      <c r="V14" s="1" t="str">
        <f ca="1">IF(OR($A14=0,$A14="S",$A14&gt;CFF!$A$9),"",MAX(V$12:OFFSET(V14,-1,0))+1)</f>
        <v/>
      </c>
      <c r="W14" s="4" t="str">
        <f t="shared" si="13"/>
        <v>PM BENTO-01</v>
      </c>
      <c r="X14" s="1">
        <f t="shared" ca="1" si="14"/>
        <v>13</v>
      </c>
      <c r="Y14" s="103">
        <v>639.87</v>
      </c>
      <c r="Z14" s="113">
        <f ca="1">ROUND(IF(ISNUMBER(R14),R14,IF(LEFT(R14,3)="BDI",HLOOKUP(R14,DADOS!$T$37:$X$38,2,FALSE),0)),15-11*$X$5)</f>
        <v>0.21390000000000001</v>
      </c>
      <c r="AA14" s="1"/>
    </row>
    <row r="15" spans="1:27" x14ac:dyDescent="0.2">
      <c r="A15" t="str">
        <f t="shared" si="0"/>
        <v>S</v>
      </c>
      <c r="B15">
        <f t="shared" si="1"/>
        <v>0</v>
      </c>
      <c r="C15">
        <f t="shared" ca="1" si="2"/>
        <v>1</v>
      </c>
      <c r="D15">
        <f t="shared" ca="1" si="3"/>
        <v>0</v>
      </c>
      <c r="E15">
        <f t="shared" ca="1" si="4"/>
        <v>0</v>
      </c>
      <c r="F15">
        <f t="shared" ca="1" si="5"/>
        <v>0</v>
      </c>
      <c r="G15">
        <f t="shared" ca="1" si="6"/>
        <v>2</v>
      </c>
      <c r="H15">
        <f t="shared" ca="1" si="7"/>
        <v>0</v>
      </c>
      <c r="I15">
        <f t="shared" ca="1" si="8"/>
        <v>0</v>
      </c>
      <c r="J15" s="354" t="s">
        <v>103</v>
      </c>
      <c r="K15" s="138" t="str">
        <f t="shared" ca="1" si="9"/>
        <v>1.2.</v>
      </c>
      <c r="L15" s="355" t="s">
        <v>235</v>
      </c>
      <c r="M15" s="355" t="s">
        <v>242</v>
      </c>
      <c r="N15" s="356" t="s">
        <v>265</v>
      </c>
      <c r="O15" s="357" t="s">
        <v>283</v>
      </c>
      <c r="P15" s="358">
        <v>591</v>
      </c>
      <c r="Q15" s="195"/>
      <c r="R15" s="198" t="s">
        <v>7</v>
      </c>
      <c r="S15" s="103">
        <f t="shared" si="10"/>
        <v>0</v>
      </c>
      <c r="T15" s="83">
        <f t="shared" si="11"/>
        <v>0</v>
      </c>
      <c r="U15" s="9" t="str">
        <f t="shared" si="12"/>
        <v>SEM VALOR</v>
      </c>
      <c r="V15" s="1" t="str">
        <f ca="1">IF(OR($A15=0,$A15="S",$A15&gt;CFF!$A$9),"",MAX(V$12:OFFSET(V15,-1,0))+1)</f>
        <v/>
      </c>
      <c r="W15" s="4" t="str">
        <f t="shared" si="13"/>
        <v>PM BENTO-02</v>
      </c>
      <c r="X15" s="1">
        <f t="shared" ca="1" si="14"/>
        <v>14</v>
      </c>
      <c r="Y15" s="103">
        <v>63.75</v>
      </c>
      <c r="Z15" s="113">
        <f ca="1">ROUND(IF(ISNUMBER(R15),R15,IF(LEFT(R15,3)="BDI",HLOOKUP(R15,DADOS!$T$37:$X$38,2,FALSE),0)),15-11*$X$5)</f>
        <v>0.21390000000000001</v>
      </c>
      <c r="AA15" s="1"/>
    </row>
    <row r="16" spans="1:27" ht="25.5" x14ac:dyDescent="0.2">
      <c r="A16" t="str">
        <f t="shared" si="0"/>
        <v>S</v>
      </c>
      <c r="B16">
        <f t="shared" si="1"/>
        <v>0</v>
      </c>
      <c r="C16">
        <f t="shared" ca="1" si="2"/>
        <v>1</v>
      </c>
      <c r="D16">
        <f t="shared" ca="1" si="3"/>
        <v>0</v>
      </c>
      <c r="E16">
        <f t="shared" ca="1" si="4"/>
        <v>0</v>
      </c>
      <c r="F16">
        <f t="shared" ca="1" si="5"/>
        <v>0</v>
      </c>
      <c r="G16">
        <f t="shared" ca="1" si="6"/>
        <v>3</v>
      </c>
      <c r="H16">
        <f t="shared" ca="1" si="7"/>
        <v>0</v>
      </c>
      <c r="I16">
        <f t="shared" ca="1" si="8"/>
        <v>0</v>
      </c>
      <c r="J16" s="354" t="s">
        <v>103</v>
      </c>
      <c r="K16" s="138" t="str">
        <f t="shared" ca="1" si="9"/>
        <v>1.3.</v>
      </c>
      <c r="L16" s="355" t="s">
        <v>235</v>
      </c>
      <c r="M16" s="355" t="s">
        <v>237</v>
      </c>
      <c r="N16" s="356" t="s">
        <v>266</v>
      </c>
      <c r="O16" s="357" t="s">
        <v>283</v>
      </c>
      <c r="P16" s="358">
        <v>210</v>
      </c>
      <c r="Q16" s="195"/>
      <c r="R16" s="198" t="s">
        <v>7</v>
      </c>
      <c r="S16" s="103">
        <f t="shared" si="10"/>
        <v>0</v>
      </c>
      <c r="T16" s="83">
        <f t="shared" si="11"/>
        <v>0</v>
      </c>
      <c r="U16" s="9" t="str">
        <f t="shared" si="12"/>
        <v>SEM VALOR</v>
      </c>
      <c r="V16" s="1" t="str">
        <f ca="1">IF(OR($A16=0,$A16="S",$A16&gt;CFF!$A$9),"",MAX(V$12:OFFSET(V16,-1,0))+1)</f>
        <v/>
      </c>
      <c r="W16" s="4" t="str">
        <f t="shared" si="13"/>
        <v>PM BENTO-03</v>
      </c>
      <c r="X16" s="1">
        <f t="shared" ca="1" si="14"/>
        <v>15</v>
      </c>
      <c r="Y16" s="103">
        <v>42.81</v>
      </c>
      <c r="Z16" s="113">
        <f ca="1">ROUND(IF(ISNUMBER(R16),R16,IF(LEFT(R16,3)="BDI",HLOOKUP(R16,DADOS!$T$37:$X$38,2,FALSE),0)),15-11*$X$5)</f>
        <v>0.21390000000000001</v>
      </c>
      <c r="AA16" s="1"/>
    </row>
    <row r="17" spans="1:27" ht="25.5" x14ac:dyDescent="0.2">
      <c r="A17" t="str">
        <f t="shared" ref="A17:A30" si="15">CHOOSE(1+LOG(1+2*(J17="Meta")+4*(J17="Nível 2")+8*(J17="Nível 3")+16*(J17="Nível 4")+32*(J17="Serviço"),2),0,1,2,3,4,"S")</f>
        <v>S</v>
      </c>
      <c r="B17">
        <f t="shared" ref="B17:B30" si="16">IF(OR(A17="S",A17=0),0,IF(ISERROR(I17),H17,SMALL(H17:I17,1)))</f>
        <v>0</v>
      </c>
      <c r="C17">
        <f t="shared" ref="C17:C30" ca="1" si="17">IF($A17=1,OFFSET(C17,-1,0)+1,OFFSET(C17,-1,0))</f>
        <v>1</v>
      </c>
      <c r="D17">
        <f t="shared" ref="D17:D30" ca="1" si="18">IF($A17=1,0,IF($A17=2,OFFSET(D17,-1,0)+1,OFFSET(D17,-1,0)))</f>
        <v>0</v>
      </c>
      <c r="E17">
        <f t="shared" ref="E17:E30" ca="1" si="19">IF(AND($A17&lt;=2,$A17&lt;&gt;0),0,IF($A17=3,OFFSET(E17,-1,0)+1,OFFSET(E17,-1,0)))</f>
        <v>0</v>
      </c>
      <c r="F17">
        <f t="shared" ref="F17:F30" ca="1" si="20">IF(AND($A17&lt;=3,$A17&lt;&gt;0),0,IF($A17=4,OFFSET(F17,-1,0)+1,OFFSET(F17,-1,0)))</f>
        <v>0</v>
      </c>
      <c r="G17">
        <f t="shared" ref="G17:G30" ca="1" si="21">IF(AND($A17&lt;=4,$A17&lt;&gt;0),0,IF($A17="S",OFFSET(G17,-1,0)+1,OFFSET(G17,-1,0)))</f>
        <v>4</v>
      </c>
      <c r="H17">
        <f t="shared" ca="1" si="7"/>
        <v>0</v>
      </c>
      <c r="I17">
        <f t="shared" ca="1" si="8"/>
        <v>0</v>
      </c>
      <c r="J17" s="354" t="s">
        <v>103</v>
      </c>
      <c r="K17" s="138" t="str">
        <f t="shared" ref="K17:K30" ca="1" si="22">IF($A17=0,"-",CONCATENATE(C17&amp;".",IF(AND($A$5&gt;=2,$A17&gt;=2),D17&amp;".",""),IF(AND($A$5&gt;=3,$A17&gt;=3),E17&amp;".",""),IF(AND($A$5&gt;=4,$A17&gt;=4),F17&amp;".",""),IF($A17="S",G17&amp;".","")))</f>
        <v>1.4.</v>
      </c>
      <c r="L17" s="355" t="s">
        <v>235</v>
      </c>
      <c r="M17" s="355" t="s">
        <v>238</v>
      </c>
      <c r="N17" s="356" t="s">
        <v>267</v>
      </c>
      <c r="O17" s="357" t="s">
        <v>282</v>
      </c>
      <c r="P17" s="358">
        <v>20</v>
      </c>
      <c r="Q17" s="195"/>
      <c r="R17" s="198" t="s">
        <v>7</v>
      </c>
      <c r="S17" s="103">
        <f t="shared" ref="S17:S30" si="23">IF($A17="S",IF($Q$10="Preço Unitário (R$)",PO.CustoUnitario,ROUND(PO.CustoUnitario*(1+$Z17),15-13*$X$6)),0)</f>
        <v>0</v>
      </c>
      <c r="T17" s="83">
        <f t="shared" ref="T17:T30" si="24">IF($A17="S",VTOTAL1,IF($A17=0,0,ROUND(SomaAgrup,15-13*$X$7)))</f>
        <v>0</v>
      </c>
      <c r="U17" s="9" t="str">
        <f t="shared" ref="U17:U30" si="25">IF($J17="","",IF($N17="","DESCRIÇÃO",IF(AND($J17="Serviço",$O17=""),"UNIDADE",IF($T17&lt;=0,"SEM VALOR",IF(AND($Y17&lt;&gt;"",$Q17&gt;$Y17),"ACIMA REF.","")))))</f>
        <v>SEM VALOR</v>
      </c>
      <c r="V17" s="1" t="str">
        <f ca="1">IF(OR($A17=0,$A17="S",$A17&gt;CFF!$A$9),"",MAX(V$12:OFFSET(V17,-1,0))+1)</f>
        <v/>
      </c>
      <c r="W17" s="4" t="str">
        <f t="shared" ref="W17:W30" si="26">IF(AND($J17="Serviço",$M17&lt;&gt;""),IF($L17="",$M17,CONCATENATE($L17,"-",$M17)))</f>
        <v>PM BENTO-04</v>
      </c>
      <c r="X17" s="1">
        <f t="shared" ref="X17:X30" ca="1" si="27">IF(AND(Fonte&lt;&gt;"",Código&lt;&gt;""),MATCH(Fonte&amp;" "&amp;IF(Fonte="sinapi",SUBSTITUTE(SUBSTITUTE(Código,"/00","/"),"/0","/"),Código),INDIRECT("'[Referência "&amp;_xlnm.Database&amp;".xls]Banco'!$a:$a"),0),"X")</f>
        <v>16</v>
      </c>
      <c r="Y17" s="103">
        <v>1070.21</v>
      </c>
      <c r="Z17" s="113">
        <f ca="1">ROUND(IF(ISNUMBER(R17),R17,IF(LEFT(R17,3)="BDI",HLOOKUP(R17,DADOS!$T$37:$X$38,2,FALSE),0)),15-11*$X$5)</f>
        <v>0.21390000000000001</v>
      </c>
      <c r="AA17" s="1"/>
    </row>
    <row r="18" spans="1:27" x14ac:dyDescent="0.2">
      <c r="A18" t="str">
        <f t="shared" si="15"/>
        <v>S</v>
      </c>
      <c r="B18">
        <f t="shared" si="16"/>
        <v>0</v>
      </c>
      <c r="C18">
        <f t="shared" ca="1" si="17"/>
        <v>1</v>
      </c>
      <c r="D18">
        <f t="shared" ca="1" si="18"/>
        <v>0</v>
      </c>
      <c r="E18">
        <f t="shared" ca="1" si="19"/>
        <v>0</v>
      </c>
      <c r="F18">
        <f t="shared" ca="1" si="20"/>
        <v>0</v>
      </c>
      <c r="G18">
        <f t="shared" ca="1" si="21"/>
        <v>5</v>
      </c>
      <c r="H18">
        <f t="shared" ca="1" si="7"/>
        <v>0</v>
      </c>
      <c r="I18">
        <f t="shared" ca="1" si="8"/>
        <v>0</v>
      </c>
      <c r="J18" s="354" t="s">
        <v>103</v>
      </c>
      <c r="K18" s="138" t="str">
        <f t="shared" ca="1" si="22"/>
        <v>1.5.</v>
      </c>
      <c r="L18" s="355" t="s">
        <v>235</v>
      </c>
      <c r="M18" s="355" t="s">
        <v>239</v>
      </c>
      <c r="N18" s="356" t="s">
        <v>268</v>
      </c>
      <c r="O18" s="357" t="s">
        <v>284</v>
      </c>
      <c r="P18" s="358">
        <v>5</v>
      </c>
      <c r="Q18" s="195"/>
      <c r="R18" s="198" t="s">
        <v>7</v>
      </c>
      <c r="S18" s="103">
        <f t="shared" si="23"/>
        <v>0</v>
      </c>
      <c r="T18" s="83">
        <f t="shared" si="24"/>
        <v>0</v>
      </c>
      <c r="U18" s="9" t="str">
        <f t="shared" si="25"/>
        <v>SEM VALOR</v>
      </c>
      <c r="V18" s="1" t="str">
        <f ca="1">IF(OR($A18=0,$A18="S",$A18&gt;CFF!$A$9),"",MAX(V$12:OFFSET(V18,-1,0))+1)</f>
        <v/>
      </c>
      <c r="W18" s="4" t="str">
        <f t="shared" si="26"/>
        <v>PM BENTO-05</v>
      </c>
      <c r="X18" s="1">
        <f t="shared" ca="1" si="27"/>
        <v>17</v>
      </c>
      <c r="Y18" s="103">
        <v>441.69</v>
      </c>
      <c r="Z18" s="113">
        <f ca="1">ROUND(IF(ISNUMBER(R18),R18,IF(LEFT(R18,3)="BDI",HLOOKUP(R18,DADOS!$T$37:$X$38,2,FALSE),0)),15-11*$X$5)</f>
        <v>0.21390000000000001</v>
      </c>
      <c r="AA18" s="1"/>
    </row>
    <row r="19" spans="1:27" ht="25.5" x14ac:dyDescent="0.2">
      <c r="A19" t="str">
        <f t="shared" si="15"/>
        <v>S</v>
      </c>
      <c r="B19">
        <f t="shared" si="16"/>
        <v>0</v>
      </c>
      <c r="C19">
        <f t="shared" ca="1" si="17"/>
        <v>1</v>
      </c>
      <c r="D19">
        <f t="shared" ca="1" si="18"/>
        <v>0</v>
      </c>
      <c r="E19">
        <f t="shared" ca="1" si="19"/>
        <v>0</v>
      </c>
      <c r="F19">
        <f t="shared" ca="1" si="20"/>
        <v>0</v>
      </c>
      <c r="G19">
        <f t="shared" ca="1" si="21"/>
        <v>6</v>
      </c>
      <c r="H19">
        <f t="shared" ca="1" si="7"/>
        <v>0</v>
      </c>
      <c r="I19">
        <f t="shared" ca="1" si="8"/>
        <v>0</v>
      </c>
      <c r="J19" s="354" t="s">
        <v>103</v>
      </c>
      <c r="K19" s="138" t="str">
        <f t="shared" ca="1" si="22"/>
        <v>1.6.</v>
      </c>
      <c r="L19" s="355" t="s">
        <v>235</v>
      </c>
      <c r="M19" s="355" t="s">
        <v>240</v>
      </c>
      <c r="N19" s="356" t="s">
        <v>269</v>
      </c>
      <c r="O19" s="357" t="s">
        <v>282</v>
      </c>
      <c r="P19" s="358">
        <v>20</v>
      </c>
      <c r="Q19" s="195"/>
      <c r="R19" s="198" t="s">
        <v>7</v>
      </c>
      <c r="S19" s="103">
        <f t="shared" si="23"/>
        <v>0</v>
      </c>
      <c r="T19" s="83">
        <f t="shared" si="24"/>
        <v>0</v>
      </c>
      <c r="U19" s="9" t="str">
        <f t="shared" si="25"/>
        <v>SEM VALOR</v>
      </c>
      <c r="V19" s="1" t="str">
        <f ca="1">IF(OR($A19=0,$A19="S",$A19&gt;CFF!$A$9),"",MAX(V$12:OFFSET(V19,-1,0))+1)</f>
        <v/>
      </c>
      <c r="W19" s="4" t="str">
        <f t="shared" si="26"/>
        <v>PM BENTO-06</v>
      </c>
      <c r="X19" s="1">
        <f t="shared" ca="1" si="27"/>
        <v>18</v>
      </c>
      <c r="Y19" s="103">
        <v>1095.01</v>
      </c>
      <c r="Z19" s="113">
        <f ca="1">ROUND(IF(ISNUMBER(R19),R19,IF(LEFT(R19,3)="BDI",HLOOKUP(R19,DADOS!$T$37:$X$38,2,FALSE),0)),15-11*$X$5)</f>
        <v>0.21390000000000001</v>
      </c>
      <c r="AA19" s="1"/>
    </row>
    <row r="20" spans="1:27" ht="25.5" x14ac:dyDescent="0.2">
      <c r="A20" t="str">
        <f t="shared" si="15"/>
        <v>S</v>
      </c>
      <c r="B20">
        <f t="shared" si="16"/>
        <v>0</v>
      </c>
      <c r="C20">
        <f t="shared" ca="1" si="17"/>
        <v>1</v>
      </c>
      <c r="D20">
        <f t="shared" ca="1" si="18"/>
        <v>0</v>
      </c>
      <c r="E20">
        <f t="shared" ca="1" si="19"/>
        <v>0</v>
      </c>
      <c r="F20">
        <f t="shared" ca="1" si="20"/>
        <v>0</v>
      </c>
      <c r="G20">
        <f t="shared" ca="1" si="21"/>
        <v>7</v>
      </c>
      <c r="H20">
        <f t="shared" ref="H20:H30" ca="1" si="28">IF(OR($A20="S",$A20=0),0,MATCH(0,OFFSET($B20,1,$A20,ROW($A$32)-ROW($A20)),0))</f>
        <v>0</v>
      </c>
      <c r="I20">
        <f t="shared" ref="I20:I30" ca="1" si="29">IF(OR($A20="S",$A20=0),0,MATCH(OFFSET($B20,0,$A20)+1,OFFSET($B20,1,$A20,ROW($A$32)-ROW($A20)),0))</f>
        <v>0</v>
      </c>
      <c r="J20" s="354" t="s">
        <v>103</v>
      </c>
      <c r="K20" s="138" t="str">
        <f t="shared" ca="1" si="22"/>
        <v>1.7.</v>
      </c>
      <c r="L20" s="355" t="s">
        <v>235</v>
      </c>
      <c r="M20" s="355" t="s">
        <v>249</v>
      </c>
      <c r="N20" s="356" t="s">
        <v>270</v>
      </c>
      <c r="O20" s="357" t="s">
        <v>285</v>
      </c>
      <c r="P20" s="358">
        <v>965</v>
      </c>
      <c r="Q20" s="195"/>
      <c r="R20" s="198" t="s">
        <v>7</v>
      </c>
      <c r="S20" s="103">
        <f t="shared" si="23"/>
        <v>0</v>
      </c>
      <c r="T20" s="83">
        <f t="shared" si="24"/>
        <v>0</v>
      </c>
      <c r="U20" s="9" t="str">
        <f t="shared" si="25"/>
        <v>SEM VALOR</v>
      </c>
      <c r="V20" s="1" t="str">
        <f ca="1">IF(OR($A20=0,$A20="S",$A20&gt;CFF!$A$9),"",MAX(V$12:OFFSET(V20,-1,0))+1)</f>
        <v/>
      </c>
      <c r="W20" s="4" t="str">
        <f t="shared" si="26"/>
        <v>PM BENTO-07</v>
      </c>
      <c r="X20" s="1">
        <f t="shared" ca="1" si="27"/>
        <v>19</v>
      </c>
      <c r="Y20" s="103">
        <v>27.09</v>
      </c>
      <c r="Z20" s="113">
        <f ca="1">ROUND(IF(ISNUMBER(R20),R20,IF(LEFT(R20,3)="BDI",HLOOKUP(R20,DADOS!$T$37:$X$38,2,FALSE),0)),15-11*$X$5)</f>
        <v>0.21390000000000001</v>
      </c>
      <c r="AA20" s="1"/>
    </row>
    <row r="21" spans="1:27" ht="25.5" x14ac:dyDescent="0.2">
      <c r="A21" t="str">
        <f t="shared" si="15"/>
        <v>S</v>
      </c>
      <c r="B21">
        <f t="shared" si="16"/>
        <v>0</v>
      </c>
      <c r="C21">
        <f t="shared" ca="1" si="17"/>
        <v>1</v>
      </c>
      <c r="D21">
        <f t="shared" ca="1" si="18"/>
        <v>0</v>
      </c>
      <c r="E21">
        <f t="shared" ca="1" si="19"/>
        <v>0</v>
      </c>
      <c r="F21">
        <f t="shared" ca="1" si="20"/>
        <v>0</v>
      </c>
      <c r="G21">
        <f t="shared" ca="1" si="21"/>
        <v>8</v>
      </c>
      <c r="H21">
        <f t="shared" ca="1" si="28"/>
        <v>0</v>
      </c>
      <c r="I21">
        <f t="shared" ca="1" si="29"/>
        <v>0</v>
      </c>
      <c r="J21" s="354" t="s">
        <v>103</v>
      </c>
      <c r="K21" s="138" t="str">
        <f t="shared" ca="1" si="22"/>
        <v>1.8.</v>
      </c>
      <c r="L21" s="355" t="s">
        <v>235</v>
      </c>
      <c r="M21" s="355" t="s">
        <v>250</v>
      </c>
      <c r="N21" s="356" t="s">
        <v>271</v>
      </c>
      <c r="O21" s="357" t="s">
        <v>283</v>
      </c>
      <c r="P21" s="358">
        <v>169</v>
      </c>
      <c r="Q21" s="195"/>
      <c r="R21" s="198" t="s">
        <v>7</v>
      </c>
      <c r="S21" s="103">
        <f t="shared" si="23"/>
        <v>0</v>
      </c>
      <c r="T21" s="83">
        <f t="shared" si="24"/>
        <v>0</v>
      </c>
      <c r="U21" s="9" t="str">
        <f t="shared" si="25"/>
        <v>SEM VALOR</v>
      </c>
      <c r="V21" s="1" t="str">
        <f ca="1">IF(OR($A21=0,$A21="S",$A21&gt;CFF!$A$9),"",MAX(V$12:OFFSET(V21,-1,0))+1)</f>
        <v/>
      </c>
      <c r="W21" s="4" t="str">
        <f t="shared" si="26"/>
        <v>PM BENTO-08</v>
      </c>
      <c r="X21" s="1">
        <f t="shared" ca="1" si="27"/>
        <v>20</v>
      </c>
      <c r="Y21" s="103">
        <v>56.62</v>
      </c>
      <c r="Z21" s="113">
        <f ca="1">ROUND(IF(ISNUMBER(R21),R21,IF(LEFT(R21,3)="BDI",HLOOKUP(R21,DADOS!$T$37:$X$38,2,FALSE),0)),15-11*$X$5)</f>
        <v>0.21390000000000001</v>
      </c>
      <c r="AA21" s="1"/>
    </row>
    <row r="22" spans="1:27" ht="25.5" x14ac:dyDescent="0.2">
      <c r="A22" t="str">
        <f t="shared" si="15"/>
        <v>S</v>
      </c>
      <c r="B22">
        <f t="shared" si="16"/>
        <v>0</v>
      </c>
      <c r="C22">
        <f t="shared" ca="1" si="17"/>
        <v>1</v>
      </c>
      <c r="D22">
        <f t="shared" ca="1" si="18"/>
        <v>0</v>
      </c>
      <c r="E22">
        <f t="shared" ca="1" si="19"/>
        <v>0</v>
      </c>
      <c r="F22">
        <f t="shared" ca="1" si="20"/>
        <v>0</v>
      </c>
      <c r="G22">
        <f t="shared" ca="1" si="21"/>
        <v>9</v>
      </c>
      <c r="H22">
        <f t="shared" ca="1" si="28"/>
        <v>0</v>
      </c>
      <c r="I22">
        <f t="shared" ca="1" si="29"/>
        <v>0</v>
      </c>
      <c r="J22" s="354" t="s">
        <v>103</v>
      </c>
      <c r="K22" s="138" t="str">
        <f t="shared" ca="1" si="22"/>
        <v>1.9.</v>
      </c>
      <c r="L22" s="355" t="s">
        <v>235</v>
      </c>
      <c r="M22" s="355" t="s">
        <v>251</v>
      </c>
      <c r="N22" s="356" t="s">
        <v>272</v>
      </c>
      <c r="O22" s="357" t="s">
        <v>283</v>
      </c>
      <c r="P22" s="358">
        <v>591</v>
      </c>
      <c r="Q22" s="195"/>
      <c r="R22" s="198" t="s">
        <v>7</v>
      </c>
      <c r="S22" s="103">
        <f t="shared" si="23"/>
        <v>0</v>
      </c>
      <c r="T22" s="83">
        <f t="shared" si="24"/>
        <v>0</v>
      </c>
      <c r="U22" s="9" t="str">
        <f t="shared" si="25"/>
        <v>SEM VALOR</v>
      </c>
      <c r="V22" s="1" t="str">
        <f ca="1">IF(OR($A22=0,$A22="S",$A22&gt;CFF!$A$9),"",MAX(V$12:OFFSET(V22,-1,0))+1)</f>
        <v/>
      </c>
      <c r="W22" s="4" t="str">
        <f t="shared" si="26"/>
        <v>PM BENTO-09</v>
      </c>
      <c r="X22" s="1">
        <f t="shared" ca="1" si="27"/>
        <v>21</v>
      </c>
      <c r="Y22" s="103">
        <v>104.49</v>
      </c>
      <c r="Z22" s="113">
        <f ca="1">ROUND(IF(ISNUMBER(R22),R22,IF(LEFT(R22,3)="BDI",HLOOKUP(R22,DADOS!$T$37:$X$38,2,FALSE),0)),15-11*$X$5)</f>
        <v>0.21390000000000001</v>
      </c>
      <c r="AA22" s="1"/>
    </row>
    <row r="23" spans="1:27" ht="38.25" x14ac:dyDescent="0.2">
      <c r="A23" t="str">
        <f t="shared" si="15"/>
        <v>S</v>
      </c>
      <c r="B23">
        <f t="shared" si="16"/>
        <v>0</v>
      </c>
      <c r="C23">
        <f t="shared" ca="1" si="17"/>
        <v>1</v>
      </c>
      <c r="D23">
        <f t="shared" ca="1" si="18"/>
        <v>0</v>
      </c>
      <c r="E23">
        <f t="shared" ca="1" si="19"/>
        <v>0</v>
      </c>
      <c r="F23">
        <f t="shared" ca="1" si="20"/>
        <v>0</v>
      </c>
      <c r="G23">
        <f t="shared" ca="1" si="21"/>
        <v>10</v>
      </c>
      <c r="H23">
        <f t="shared" ca="1" si="28"/>
        <v>0</v>
      </c>
      <c r="I23">
        <f t="shared" ca="1" si="29"/>
        <v>0</v>
      </c>
      <c r="J23" s="354" t="s">
        <v>103</v>
      </c>
      <c r="K23" s="138" t="str">
        <f t="shared" ca="1" si="22"/>
        <v>1.10.</v>
      </c>
      <c r="L23" s="355" t="s">
        <v>235</v>
      </c>
      <c r="M23" s="355" t="s">
        <v>252</v>
      </c>
      <c r="N23" s="356" t="s">
        <v>273</v>
      </c>
      <c r="O23" s="357" t="s">
        <v>283</v>
      </c>
      <c r="P23" s="358">
        <v>591</v>
      </c>
      <c r="Q23" s="195"/>
      <c r="R23" s="198" t="s">
        <v>8</v>
      </c>
      <c r="S23" s="103">
        <f t="shared" si="23"/>
        <v>0</v>
      </c>
      <c r="T23" s="83">
        <f t="shared" si="24"/>
        <v>0</v>
      </c>
      <c r="U23" s="9" t="str">
        <f t="shared" si="25"/>
        <v>SEM VALOR</v>
      </c>
      <c r="V23" s="1" t="str">
        <f ca="1">IF(OR($A23=0,$A23="S",$A23&gt;CFF!$A$9),"",MAX(V$12:OFFSET(V23,-1,0))+1)</f>
        <v/>
      </c>
      <c r="W23" s="4" t="str">
        <f t="shared" si="26"/>
        <v>PM BENTO-10</v>
      </c>
      <c r="X23" s="1">
        <f t="shared" ca="1" si="27"/>
        <v>22</v>
      </c>
      <c r="Y23" s="103">
        <v>267.64</v>
      </c>
      <c r="Z23" s="113">
        <f ca="1">ROUND(IF(ISNUMBER(R23),R23,IF(LEFT(R23,3)="BDI",HLOOKUP(R23,DADOS!$T$37:$X$38,2,FALSE),0)),15-11*$X$5)</f>
        <v>0.16789999999999999</v>
      </c>
      <c r="AA23" s="1"/>
    </row>
    <row r="24" spans="1:27" ht="25.5" x14ac:dyDescent="0.2">
      <c r="A24" t="str">
        <f t="shared" si="15"/>
        <v>S</v>
      </c>
      <c r="B24">
        <f t="shared" si="16"/>
        <v>0</v>
      </c>
      <c r="C24">
        <f t="shared" ca="1" si="17"/>
        <v>1</v>
      </c>
      <c r="D24">
        <f t="shared" ca="1" si="18"/>
        <v>0</v>
      </c>
      <c r="E24">
        <f t="shared" ca="1" si="19"/>
        <v>0</v>
      </c>
      <c r="F24">
        <f t="shared" ca="1" si="20"/>
        <v>0</v>
      </c>
      <c r="G24">
        <f t="shared" ca="1" si="21"/>
        <v>11</v>
      </c>
      <c r="H24">
        <f t="shared" ca="1" si="28"/>
        <v>0</v>
      </c>
      <c r="I24">
        <f t="shared" ca="1" si="29"/>
        <v>0</v>
      </c>
      <c r="J24" s="354" t="s">
        <v>103</v>
      </c>
      <c r="K24" s="138" t="str">
        <f t="shared" ca="1" si="22"/>
        <v>1.11.</v>
      </c>
      <c r="L24" s="355" t="s">
        <v>235</v>
      </c>
      <c r="M24" s="355" t="s">
        <v>253</v>
      </c>
      <c r="N24" s="356" t="s">
        <v>274</v>
      </c>
      <c r="O24" s="357" t="s">
        <v>283</v>
      </c>
      <c r="P24" s="358">
        <v>210</v>
      </c>
      <c r="Q24" s="195"/>
      <c r="R24" s="198" t="s">
        <v>8</v>
      </c>
      <c r="S24" s="103">
        <f t="shared" si="23"/>
        <v>0</v>
      </c>
      <c r="T24" s="83">
        <f t="shared" si="24"/>
        <v>0</v>
      </c>
      <c r="U24" s="9" t="str">
        <f t="shared" si="25"/>
        <v>SEM VALOR</v>
      </c>
      <c r="V24" s="1" t="str">
        <f ca="1">IF(OR($A24=0,$A24="S",$A24&gt;CFF!$A$9),"",MAX(V$12:OFFSET(V24,-1,0))+1)</f>
        <v/>
      </c>
      <c r="W24" s="4" t="str">
        <f t="shared" si="26"/>
        <v>PM BENTO-11</v>
      </c>
      <c r="X24" s="1">
        <f t="shared" ca="1" si="27"/>
        <v>23</v>
      </c>
      <c r="Y24" s="103">
        <v>568.16999999999996</v>
      </c>
      <c r="Z24" s="113">
        <f ca="1">ROUND(IF(ISNUMBER(R24),R24,IF(LEFT(R24,3)="BDI",HLOOKUP(R24,DADOS!$T$37:$X$38,2,FALSE),0)),15-11*$X$5)</f>
        <v>0.16789999999999999</v>
      </c>
      <c r="AA24" s="1"/>
    </row>
    <row r="25" spans="1:27" ht="25.5" x14ac:dyDescent="0.2">
      <c r="A25" t="str">
        <f t="shared" si="15"/>
        <v>S</v>
      </c>
      <c r="B25">
        <f t="shared" si="16"/>
        <v>0</v>
      </c>
      <c r="C25">
        <f t="shared" ca="1" si="17"/>
        <v>1</v>
      </c>
      <c r="D25">
        <f t="shared" ca="1" si="18"/>
        <v>0</v>
      </c>
      <c r="E25">
        <f t="shared" ca="1" si="19"/>
        <v>0</v>
      </c>
      <c r="F25">
        <f t="shared" ca="1" si="20"/>
        <v>0</v>
      </c>
      <c r="G25">
        <f t="shared" ca="1" si="21"/>
        <v>12</v>
      </c>
      <c r="H25">
        <f t="shared" ca="1" si="28"/>
        <v>0</v>
      </c>
      <c r="I25">
        <f t="shared" ca="1" si="29"/>
        <v>0</v>
      </c>
      <c r="J25" s="354" t="s">
        <v>103</v>
      </c>
      <c r="K25" s="138" t="str">
        <f t="shared" ca="1" si="22"/>
        <v>1.12.</v>
      </c>
      <c r="L25" s="355" t="s">
        <v>235</v>
      </c>
      <c r="M25" s="355" t="s">
        <v>254</v>
      </c>
      <c r="N25" s="356" t="s">
        <v>275</v>
      </c>
      <c r="O25" s="357" t="s">
        <v>286</v>
      </c>
      <c r="P25" s="358">
        <v>210</v>
      </c>
      <c r="Q25" s="195"/>
      <c r="R25" s="198" t="s">
        <v>8</v>
      </c>
      <c r="S25" s="103">
        <f t="shared" si="23"/>
        <v>0</v>
      </c>
      <c r="T25" s="83">
        <f t="shared" si="24"/>
        <v>0</v>
      </c>
      <c r="U25" s="9" t="str">
        <f t="shared" si="25"/>
        <v>SEM VALOR</v>
      </c>
      <c r="V25" s="1" t="str">
        <f ca="1">IF(OR($A25=0,$A25="S",$A25&gt;CFF!$A$9),"",MAX(V$12:OFFSET(V25,-1,0))+1)</f>
        <v/>
      </c>
      <c r="W25" s="4" t="str">
        <f t="shared" si="26"/>
        <v>PM BENTO-12</v>
      </c>
      <c r="X25" s="1">
        <f t="shared" ca="1" si="27"/>
        <v>24</v>
      </c>
      <c r="Y25" s="103">
        <v>88.63</v>
      </c>
      <c r="Z25" s="113">
        <f ca="1">ROUND(IF(ISNUMBER(R25),R25,IF(LEFT(R25,3)="BDI",HLOOKUP(R25,DADOS!$T$37:$X$38,2,FALSE),0)),15-11*$X$5)</f>
        <v>0.16789999999999999</v>
      </c>
      <c r="AA25" s="1"/>
    </row>
    <row r="26" spans="1:27" ht="25.5" x14ac:dyDescent="0.2">
      <c r="A26" t="str">
        <f t="shared" si="15"/>
        <v>S</v>
      </c>
      <c r="B26">
        <f t="shared" si="16"/>
        <v>0</v>
      </c>
      <c r="C26">
        <f t="shared" ca="1" si="17"/>
        <v>1</v>
      </c>
      <c r="D26">
        <f t="shared" ca="1" si="18"/>
        <v>0</v>
      </c>
      <c r="E26">
        <f t="shared" ca="1" si="19"/>
        <v>0</v>
      </c>
      <c r="F26">
        <f t="shared" ca="1" si="20"/>
        <v>0</v>
      </c>
      <c r="G26">
        <f t="shared" ca="1" si="21"/>
        <v>13</v>
      </c>
      <c r="H26">
        <f t="shared" ca="1" si="28"/>
        <v>0</v>
      </c>
      <c r="I26">
        <f t="shared" ca="1" si="29"/>
        <v>0</v>
      </c>
      <c r="J26" s="354" t="s">
        <v>103</v>
      </c>
      <c r="K26" s="138" t="str">
        <f t="shared" ca="1" si="22"/>
        <v>1.13.</v>
      </c>
      <c r="L26" s="355" t="s">
        <v>235</v>
      </c>
      <c r="M26" s="355" t="s">
        <v>255</v>
      </c>
      <c r="N26" s="356" t="s">
        <v>276</v>
      </c>
      <c r="O26" s="357" t="s">
        <v>283</v>
      </c>
      <c r="P26" s="358">
        <v>116</v>
      </c>
      <c r="Q26" s="195"/>
      <c r="R26" s="198" t="s">
        <v>7</v>
      </c>
      <c r="S26" s="103">
        <f t="shared" si="23"/>
        <v>0</v>
      </c>
      <c r="T26" s="83">
        <f t="shared" si="24"/>
        <v>0</v>
      </c>
      <c r="U26" s="9" t="str">
        <f t="shared" si="25"/>
        <v>SEM VALOR</v>
      </c>
      <c r="V26" s="1" t="str">
        <f ca="1">IF(OR($A26=0,$A26="S",$A26&gt;CFF!$A$9),"",MAX(V$12:OFFSET(V26,-1,0))+1)</f>
        <v/>
      </c>
      <c r="W26" s="4" t="str">
        <f t="shared" si="26"/>
        <v>PM BENTO-13</v>
      </c>
      <c r="X26" s="1">
        <f t="shared" ca="1" si="27"/>
        <v>25</v>
      </c>
      <c r="Y26" s="103">
        <v>51.82</v>
      </c>
      <c r="Z26" s="113">
        <f ca="1">ROUND(IF(ISNUMBER(R26),R26,IF(LEFT(R26,3)="BDI",HLOOKUP(R26,DADOS!$T$37:$X$38,2,FALSE),0)),15-11*$X$5)</f>
        <v>0.21390000000000001</v>
      </c>
      <c r="AA26" s="1"/>
    </row>
    <row r="27" spans="1:27" ht="25.5" x14ac:dyDescent="0.2">
      <c r="A27" t="str">
        <f t="shared" si="15"/>
        <v>S</v>
      </c>
      <c r="B27">
        <f t="shared" si="16"/>
        <v>0</v>
      </c>
      <c r="C27">
        <f t="shared" ca="1" si="17"/>
        <v>1</v>
      </c>
      <c r="D27">
        <f t="shared" ca="1" si="18"/>
        <v>0</v>
      </c>
      <c r="E27">
        <f t="shared" ca="1" si="19"/>
        <v>0</v>
      </c>
      <c r="F27">
        <f t="shared" ca="1" si="20"/>
        <v>0</v>
      </c>
      <c r="G27">
        <f t="shared" ca="1" si="21"/>
        <v>14</v>
      </c>
      <c r="H27">
        <f t="shared" ca="1" si="28"/>
        <v>0</v>
      </c>
      <c r="I27">
        <f t="shared" ca="1" si="29"/>
        <v>0</v>
      </c>
      <c r="J27" s="354" t="s">
        <v>103</v>
      </c>
      <c r="K27" s="138" t="str">
        <f t="shared" ca="1" si="22"/>
        <v>1.14.</v>
      </c>
      <c r="L27" s="355" t="s">
        <v>235</v>
      </c>
      <c r="M27" s="355" t="s">
        <v>256</v>
      </c>
      <c r="N27" s="356" t="s">
        <v>277</v>
      </c>
      <c r="O27" s="357" t="s">
        <v>287</v>
      </c>
      <c r="P27" s="358">
        <v>8</v>
      </c>
      <c r="Q27" s="195"/>
      <c r="R27" s="198" t="s">
        <v>7</v>
      </c>
      <c r="S27" s="103">
        <f t="shared" si="23"/>
        <v>0</v>
      </c>
      <c r="T27" s="83">
        <f t="shared" si="24"/>
        <v>0</v>
      </c>
      <c r="U27" s="9" t="str">
        <f t="shared" si="25"/>
        <v>SEM VALOR</v>
      </c>
      <c r="V27" s="1" t="str">
        <f ca="1">IF(OR($A27=0,$A27="S",$A27&gt;CFF!$A$9),"",MAX(V$12:OFFSET(V27,-1,0))+1)</f>
        <v/>
      </c>
      <c r="W27" s="4" t="str">
        <f t="shared" si="26"/>
        <v>PM BENTO-14</v>
      </c>
      <c r="X27" s="1">
        <f t="shared" ca="1" si="27"/>
        <v>26</v>
      </c>
      <c r="Y27" s="103">
        <v>3997.86</v>
      </c>
      <c r="Z27" s="113">
        <f ca="1">ROUND(IF(ISNUMBER(R27),R27,IF(LEFT(R27,3)="BDI",HLOOKUP(R27,DADOS!$T$37:$X$38,2,FALSE),0)),15-11*$X$5)</f>
        <v>0.21390000000000001</v>
      </c>
      <c r="AA27" s="1"/>
    </row>
    <row r="28" spans="1:27" x14ac:dyDescent="0.2">
      <c r="A28" t="str">
        <f t="shared" si="15"/>
        <v>S</v>
      </c>
      <c r="B28">
        <f t="shared" si="16"/>
        <v>0</v>
      </c>
      <c r="C28">
        <f t="shared" ca="1" si="17"/>
        <v>1</v>
      </c>
      <c r="D28">
        <f t="shared" ca="1" si="18"/>
        <v>0</v>
      </c>
      <c r="E28">
        <f t="shared" ca="1" si="19"/>
        <v>0</v>
      </c>
      <c r="F28">
        <f t="shared" ca="1" si="20"/>
        <v>0</v>
      </c>
      <c r="G28">
        <f t="shared" ca="1" si="21"/>
        <v>15</v>
      </c>
      <c r="H28">
        <f t="shared" ca="1" si="28"/>
        <v>0</v>
      </c>
      <c r="I28">
        <f t="shared" ca="1" si="29"/>
        <v>0</v>
      </c>
      <c r="J28" s="354" t="s">
        <v>103</v>
      </c>
      <c r="K28" s="138" t="str">
        <f t="shared" ca="1" si="22"/>
        <v>1.15.</v>
      </c>
      <c r="L28" s="355" t="s">
        <v>235</v>
      </c>
      <c r="M28" s="355" t="s">
        <v>257</v>
      </c>
      <c r="N28" s="356" t="s">
        <v>278</v>
      </c>
      <c r="O28" s="357" t="s">
        <v>287</v>
      </c>
      <c r="P28" s="358">
        <v>8</v>
      </c>
      <c r="Q28" s="195"/>
      <c r="R28" s="198" t="s">
        <v>7</v>
      </c>
      <c r="S28" s="103">
        <f t="shared" si="23"/>
        <v>0</v>
      </c>
      <c r="T28" s="83">
        <f t="shared" si="24"/>
        <v>0</v>
      </c>
      <c r="U28" s="9" t="str">
        <f t="shared" si="25"/>
        <v>SEM VALOR</v>
      </c>
      <c r="V28" s="1" t="str">
        <f ca="1">IF(OR($A28=0,$A28="S",$A28&gt;CFF!$A$9),"",MAX(V$12:OFFSET(V28,-1,0))+1)</f>
        <v/>
      </c>
      <c r="W28" s="4" t="str">
        <f t="shared" si="26"/>
        <v>PM BENTO-15</v>
      </c>
      <c r="X28" s="1">
        <f t="shared" ca="1" si="27"/>
        <v>27</v>
      </c>
      <c r="Y28" s="103">
        <v>1144.06</v>
      </c>
      <c r="Z28" s="113">
        <f ca="1">ROUND(IF(ISNUMBER(R28),R28,IF(LEFT(R28,3)="BDI",HLOOKUP(R28,DADOS!$T$37:$X$38,2,FALSE),0)),15-11*$X$5)</f>
        <v>0.21390000000000001</v>
      </c>
      <c r="AA28" s="1"/>
    </row>
    <row r="29" spans="1:27" ht="25.5" x14ac:dyDescent="0.2">
      <c r="A29" t="str">
        <f t="shared" si="15"/>
        <v>S</v>
      </c>
      <c r="B29">
        <f t="shared" si="16"/>
        <v>0</v>
      </c>
      <c r="C29">
        <f t="shared" ca="1" si="17"/>
        <v>1</v>
      </c>
      <c r="D29">
        <f t="shared" ca="1" si="18"/>
        <v>0</v>
      </c>
      <c r="E29">
        <f t="shared" ca="1" si="19"/>
        <v>0</v>
      </c>
      <c r="F29">
        <f t="shared" ca="1" si="20"/>
        <v>0</v>
      </c>
      <c r="G29">
        <f t="shared" ca="1" si="21"/>
        <v>16</v>
      </c>
      <c r="H29">
        <f t="shared" ca="1" si="28"/>
        <v>0</v>
      </c>
      <c r="I29">
        <f t="shared" ca="1" si="29"/>
        <v>0</v>
      </c>
      <c r="J29" s="354" t="s">
        <v>103</v>
      </c>
      <c r="K29" s="138" t="str">
        <f t="shared" ca="1" si="22"/>
        <v>1.16.</v>
      </c>
      <c r="L29" s="355" t="s">
        <v>235</v>
      </c>
      <c r="M29" s="355" t="s">
        <v>258</v>
      </c>
      <c r="N29" s="356" t="s">
        <v>279</v>
      </c>
      <c r="O29" s="357" t="s">
        <v>282</v>
      </c>
      <c r="P29" s="358">
        <v>560</v>
      </c>
      <c r="Q29" s="195"/>
      <c r="R29" s="198" t="s">
        <v>7</v>
      </c>
      <c r="S29" s="103">
        <f t="shared" si="23"/>
        <v>0</v>
      </c>
      <c r="T29" s="83">
        <f t="shared" si="24"/>
        <v>0</v>
      </c>
      <c r="U29" s="9" t="str">
        <f t="shared" si="25"/>
        <v>SEM VALOR</v>
      </c>
      <c r="V29" s="1" t="str">
        <f ca="1">IF(OR($A29=0,$A29="S",$A29&gt;CFF!$A$9),"",MAX(V$12:OFFSET(V29,-1,0))+1)</f>
        <v/>
      </c>
      <c r="W29" s="4" t="str">
        <f t="shared" si="26"/>
        <v>PM BENTO-16</v>
      </c>
      <c r="X29" s="1">
        <f t="shared" ca="1" si="27"/>
        <v>28</v>
      </c>
      <c r="Y29" s="103">
        <v>166.53</v>
      </c>
      <c r="Z29" s="113">
        <f ca="1">ROUND(IF(ISNUMBER(R29),R29,IF(LEFT(R29,3)="BDI",HLOOKUP(R29,DADOS!$T$37:$X$38,2,FALSE),0)),15-11*$X$5)</f>
        <v>0.21390000000000001</v>
      </c>
      <c r="AA29" s="1"/>
    </row>
    <row r="30" spans="1:27" ht="38.25" x14ac:dyDescent="0.2">
      <c r="A30" t="str">
        <f t="shared" si="15"/>
        <v>S</v>
      </c>
      <c r="B30">
        <f t="shared" si="16"/>
        <v>0</v>
      </c>
      <c r="C30">
        <f t="shared" ca="1" si="17"/>
        <v>1</v>
      </c>
      <c r="D30">
        <f t="shared" ca="1" si="18"/>
        <v>0</v>
      </c>
      <c r="E30">
        <f t="shared" ca="1" si="19"/>
        <v>0</v>
      </c>
      <c r="F30">
        <f t="shared" ca="1" si="20"/>
        <v>0</v>
      </c>
      <c r="G30">
        <f t="shared" ca="1" si="21"/>
        <v>17</v>
      </c>
      <c r="H30">
        <f t="shared" ca="1" si="28"/>
        <v>0</v>
      </c>
      <c r="I30">
        <f t="shared" ca="1" si="29"/>
        <v>0</v>
      </c>
      <c r="J30" s="354" t="s">
        <v>103</v>
      </c>
      <c r="K30" s="138" t="str">
        <f t="shared" ca="1" si="22"/>
        <v>1.17.</v>
      </c>
      <c r="L30" s="355" t="s">
        <v>235</v>
      </c>
      <c r="M30" s="355" t="s">
        <v>259</v>
      </c>
      <c r="N30" s="356" t="s">
        <v>280</v>
      </c>
      <c r="O30" s="357" t="s">
        <v>285</v>
      </c>
      <c r="P30" s="358">
        <v>1459</v>
      </c>
      <c r="Q30" s="195"/>
      <c r="R30" s="198" t="s">
        <v>7</v>
      </c>
      <c r="S30" s="103">
        <f t="shared" si="23"/>
        <v>0</v>
      </c>
      <c r="T30" s="83">
        <f t="shared" si="24"/>
        <v>0</v>
      </c>
      <c r="U30" s="9" t="str">
        <f t="shared" si="25"/>
        <v>SEM VALOR</v>
      </c>
      <c r="V30" s="1" t="str">
        <f ca="1">IF(OR($A30=0,$A30="S",$A30&gt;CFF!$A$9),"",MAX(V$12:OFFSET(V30,-1,0))+1)</f>
        <v/>
      </c>
      <c r="W30" s="4" t="str">
        <f t="shared" si="26"/>
        <v>PM BENTO-17</v>
      </c>
      <c r="X30" s="1">
        <f t="shared" ca="1" si="27"/>
        <v>29</v>
      </c>
      <c r="Y30" s="103">
        <v>33.22</v>
      </c>
      <c r="Z30" s="113">
        <f ca="1">ROUND(IF(ISNUMBER(R30),R30,IF(LEFT(R30,3)="BDI",HLOOKUP(R30,DADOS!$T$37:$X$38,2,FALSE),0)),15-11*$X$5)</f>
        <v>0.21390000000000001</v>
      </c>
      <c r="AA30" s="1"/>
    </row>
    <row r="31" spans="1:27" ht="38.25" x14ac:dyDescent="0.2">
      <c r="A31" t="str">
        <f>CHOOSE(1+LOG(1+2*(J31="Meta")+4*(J31="Nível 2")+8*(J31="Nível 3")+16*(J31="Nível 4")+32*(J31="Serviço"),2),0,1,2,3,4,"S")</f>
        <v>S</v>
      </c>
      <c r="B31">
        <f>IF(OR(A31="S",A31=0),0,IF(ISERROR(I31),H31,SMALL(H31:I31,1)))</f>
        <v>0</v>
      </c>
      <c r="C31">
        <f ca="1">IF($A31=1,OFFSET(C31,-1,0)+1,OFFSET(C31,-1,0))</f>
        <v>1</v>
      </c>
      <c r="D31">
        <f ca="1">IF($A31=1,0,IF($A31=2,OFFSET(D31,-1,0)+1,OFFSET(D31,-1,0)))</f>
        <v>0</v>
      </c>
      <c r="E31">
        <f ca="1">IF(AND($A31&lt;=2,$A31&lt;&gt;0),0,IF($A31=3,OFFSET(E31,-1,0)+1,OFFSET(E31,-1,0)))</f>
        <v>0</v>
      </c>
      <c r="F31">
        <f ca="1">IF(AND($A31&lt;=3,$A31&lt;&gt;0),0,IF($A31=4,OFFSET(F31,-1,0)+1,OFFSET(F31,-1,0)))</f>
        <v>0</v>
      </c>
      <c r="G31">
        <f ca="1">IF(AND($A31&lt;=4,$A31&lt;&gt;0),0,IF($A31="S",OFFSET(G31,-1,0)+1,OFFSET(G31,-1,0)))</f>
        <v>18</v>
      </c>
      <c r="H31">
        <f ca="1">IF(OR($A31="S",$A31=0),0,MATCH(0,OFFSET($B31,1,$A31,ROW($A$32)-ROW($A31)),0))</f>
        <v>0</v>
      </c>
      <c r="I31">
        <f ca="1">IF(OR($A31="S",$A31=0),0,MATCH(OFFSET($B31,0,$A31)+1,OFFSET($B31,1,$A31,ROW($A$32)-ROW($A31)),0))</f>
        <v>0</v>
      </c>
      <c r="J31" s="354" t="s">
        <v>103</v>
      </c>
      <c r="K31" s="138" t="str">
        <f ca="1">IF($A31=0,"-",CONCATENATE(C31&amp;".",IF(AND($A$5&gt;=2,$A31&gt;=2),D31&amp;".",""),IF(AND($A$5&gt;=3,$A31&gt;=3),E31&amp;".",""),IF(AND($A$5&gt;=4,$A31&gt;=4),F31&amp;".",""),IF($A31="S",G31&amp;".","")))</f>
        <v>1.18.</v>
      </c>
      <c r="L31" s="355" t="s">
        <v>235</v>
      </c>
      <c r="M31" s="355" t="s">
        <v>263</v>
      </c>
      <c r="N31" s="356" t="s">
        <v>281</v>
      </c>
      <c r="O31" s="357" t="s">
        <v>283</v>
      </c>
      <c r="P31" s="358">
        <v>591</v>
      </c>
      <c r="Q31" s="195"/>
      <c r="R31" s="198" t="s">
        <v>8</v>
      </c>
      <c r="S31" s="103">
        <f>IF($A31="S",IF($Q$10="Preço Unitário (R$)",PO.CustoUnitario,ROUND(PO.CustoUnitario*(1+$Z31),15-13*$X$6)),0)</f>
        <v>0</v>
      </c>
      <c r="T31" s="83">
        <f>IF($A31="S",VTOTAL1,IF($A31=0,0,ROUND(SomaAgrup,15-13*$X$7)))</f>
        <v>0</v>
      </c>
      <c r="U31" s="9" t="str">
        <f>IF($J31="","",IF($N31="","DESCRIÇÃO",IF(AND($J31="Serviço",$O31=""),"UNIDADE",IF($T31&lt;=0,"SEM VALOR",IF(AND($Y31&lt;&gt;"",$Q31&gt;$Y31),"ACIMA REF.","")))))</f>
        <v>SEM VALOR</v>
      </c>
      <c r="V31" s="1" t="str">
        <f ca="1">IF(OR($A31=0,$A31="S",$A31&gt;CFF!$A$9),"",MAX(V$12:OFFSET(V31,-1,0))+1)</f>
        <v/>
      </c>
      <c r="W31" s="4" t="str">
        <f>IF(AND($J31="Serviço",$M31&lt;&gt;""),IF($L31="",$M31,CONCATENATE($L31,"-",$M31)))</f>
        <v>PM BENTO-18</v>
      </c>
      <c r="X31" s="1">
        <f ca="1">IF(AND(Fonte&lt;&gt;"",Código&lt;&gt;""),MATCH(Fonte&amp;" "&amp;IF(Fonte="sinapi",SUBSTITUTE(SUBSTITUTE(Código,"/00","/"),"/0","/"),Código),INDIRECT("'[Referência "&amp;_xlnm.Database&amp;".xls]Banco'!$a:$a"),0),"X")</f>
        <v>30</v>
      </c>
      <c r="Y31" s="103">
        <v>216.68</v>
      </c>
      <c r="Z31" s="113">
        <f ca="1">ROUND(IF(ISNUMBER(R31),R31,IF(LEFT(R31,3)="BDI",HLOOKUP(R31,DADOS!$T$37:$X$38,2,FALSE),0)),15-11*$X$5)</f>
        <v>0.16789999999999999</v>
      </c>
      <c r="AA31" s="1"/>
    </row>
    <row r="32" spans="1:27" x14ac:dyDescent="0.2">
      <c r="A32">
        <v>-1</v>
      </c>
      <c r="C32">
        <v>0</v>
      </c>
      <c r="D32">
        <v>0</v>
      </c>
      <c r="E32">
        <v>0</v>
      </c>
      <c r="F32">
        <v>0</v>
      </c>
      <c r="G32">
        <v>0</v>
      </c>
      <c r="J32" s="69"/>
      <c r="K32" s="69"/>
      <c r="L32" s="69"/>
      <c r="M32" s="69"/>
      <c r="N32" s="69"/>
      <c r="O32" s="69"/>
      <c r="P32" s="69"/>
      <c r="Q32" s="69"/>
      <c r="R32" s="69"/>
      <c r="S32" s="69"/>
      <c r="T32" s="69"/>
      <c r="U32" s="1"/>
      <c r="V32" s="1"/>
      <c r="W32" s="1"/>
      <c r="X32" s="1"/>
      <c r="Y32" s="1"/>
      <c r="Z32" s="1"/>
      <c r="AA32" s="1"/>
    </row>
    <row r="33" spans="1:27" ht="14.25" customHeight="1" x14ac:dyDescent="0.2">
      <c r="A33" s="1"/>
      <c r="B33" s="1"/>
      <c r="C33" s="1"/>
      <c r="D33" s="1"/>
      <c r="E33" s="1"/>
      <c r="F33" s="1"/>
      <c r="G33" s="1"/>
      <c r="H33" s="1"/>
      <c r="I33" s="1"/>
      <c r="J33" s="1"/>
      <c r="K33" s="70" t="s">
        <v>62</v>
      </c>
      <c r="L33" s="1"/>
      <c r="M33" s="325" t="s">
        <v>141</v>
      </c>
      <c r="N33" s="326"/>
      <c r="O33" s="326"/>
      <c r="P33" s="326"/>
      <c r="Q33" s="326"/>
      <c r="R33" s="326"/>
      <c r="S33" s="326"/>
      <c r="T33" s="327"/>
      <c r="U33" s="1"/>
      <c r="V33" s="1"/>
      <c r="W33" s="1"/>
      <c r="X33" s="1"/>
      <c r="Y33" s="1"/>
      <c r="Z33" s="1"/>
      <c r="AA33" s="1"/>
    </row>
    <row r="34" spans="1:27" x14ac:dyDescent="0.2">
      <c r="A34" s="1"/>
      <c r="B34" s="1"/>
      <c r="C34" s="1"/>
      <c r="D34" s="1"/>
      <c r="E34" s="1"/>
      <c r="F34" s="1"/>
      <c r="G34" s="1"/>
      <c r="H34" s="1"/>
      <c r="I34" s="1"/>
      <c r="J34" s="1"/>
      <c r="K34" s="1"/>
      <c r="L34" s="1"/>
      <c r="M34" s="1"/>
      <c r="N34" s="1"/>
      <c r="O34" s="1"/>
      <c r="P34" s="1"/>
      <c r="Q34" s="1"/>
      <c r="R34" s="1"/>
      <c r="S34" s="1"/>
      <c r="T34" s="1"/>
      <c r="U34" s="1"/>
      <c r="V34" s="1"/>
      <c r="W34" s="1"/>
      <c r="X34" s="1"/>
      <c r="Y34" s="1"/>
      <c r="Z34" s="1"/>
      <c r="AA34" s="1"/>
    </row>
    <row r="35" spans="1:27" ht="14.25" x14ac:dyDescent="0.2">
      <c r="A35" s="1"/>
      <c r="B35" s="1"/>
      <c r="C35" s="1"/>
      <c r="D35" s="1"/>
      <c r="E35" s="1"/>
      <c r="F35" s="1"/>
      <c r="G35" s="1"/>
      <c r="H35" s="1"/>
      <c r="I35" s="1"/>
      <c r="J35" s="1"/>
      <c r="K35" s="76" t="s">
        <v>21</v>
      </c>
      <c r="L35" s="1"/>
      <c r="M35" s="1"/>
      <c r="N35" s="1"/>
      <c r="O35" s="1"/>
      <c r="P35" s="1"/>
      <c r="Q35" s="1"/>
      <c r="R35" s="1"/>
      <c r="S35" s="1"/>
      <c r="T35" s="75"/>
      <c r="U35" s="1"/>
      <c r="V35" s="1"/>
      <c r="W35" s="1"/>
      <c r="X35" s="1"/>
      <c r="Y35" s="1"/>
      <c r="Z35" s="1"/>
      <c r="AA35" s="1"/>
    </row>
    <row r="36" spans="1:27" ht="12.75" customHeight="1" x14ac:dyDescent="0.2">
      <c r="A36" s="1"/>
      <c r="B36" s="1"/>
      <c r="C36" s="1"/>
      <c r="D36" s="1"/>
      <c r="E36" s="1"/>
      <c r="F36" s="1"/>
      <c r="G36" s="1"/>
      <c r="H36" s="1"/>
      <c r="I36" s="1"/>
      <c r="J36" s="1"/>
      <c r="K36" s="319" t="s">
        <v>241</v>
      </c>
      <c r="L36" s="320"/>
      <c r="M36" s="320"/>
      <c r="N36" s="320"/>
      <c r="O36" s="320"/>
      <c r="P36" s="320"/>
      <c r="Q36" s="320"/>
      <c r="R36" s="320"/>
      <c r="S36" s="320"/>
      <c r="T36" s="321"/>
      <c r="U36" s="1"/>
      <c r="V36" s="1"/>
      <c r="W36" s="1"/>
      <c r="X36" s="1"/>
      <c r="Y36" s="1"/>
      <c r="Z36" s="1"/>
      <c r="AA36" s="1"/>
    </row>
    <row r="37" spans="1:27" x14ac:dyDescent="0.2">
      <c r="A37" s="1"/>
      <c r="B37" s="1"/>
      <c r="C37" s="1"/>
      <c r="D37" s="1"/>
      <c r="E37" s="1"/>
      <c r="F37" s="1"/>
      <c r="G37" s="1"/>
      <c r="H37" s="1"/>
      <c r="I37" s="1"/>
      <c r="J37" s="1"/>
      <c r="K37" s="319"/>
      <c r="L37" s="320"/>
      <c r="M37" s="320"/>
      <c r="N37" s="320"/>
      <c r="O37" s="320"/>
      <c r="P37" s="320"/>
      <c r="Q37" s="320"/>
      <c r="R37" s="320"/>
      <c r="S37" s="320"/>
      <c r="T37" s="321"/>
      <c r="U37" s="1"/>
      <c r="V37" s="1"/>
      <c r="W37" s="1"/>
      <c r="X37" s="1"/>
      <c r="Y37" s="1"/>
      <c r="Z37" s="1"/>
      <c r="AA37" s="1"/>
    </row>
    <row r="38" spans="1:27" x14ac:dyDescent="0.2">
      <c r="A38" s="1"/>
      <c r="B38" s="1"/>
      <c r="C38" s="1"/>
      <c r="D38" s="1"/>
      <c r="E38" s="1"/>
      <c r="F38" s="1"/>
      <c r="G38" s="1"/>
      <c r="H38" s="1"/>
      <c r="I38" s="1"/>
      <c r="J38" s="1"/>
      <c r="K38" s="322"/>
      <c r="L38" s="323"/>
      <c r="M38" s="323"/>
      <c r="N38" s="323"/>
      <c r="O38" s="323"/>
      <c r="P38" s="323"/>
      <c r="Q38" s="323"/>
      <c r="R38" s="323"/>
      <c r="S38" s="323"/>
      <c r="T38" s="324"/>
      <c r="U38" s="1"/>
      <c r="V38" s="1"/>
      <c r="W38" s="1"/>
      <c r="X38" s="1"/>
      <c r="Y38" s="1"/>
      <c r="Z38" s="1"/>
      <c r="AA38" s="1"/>
    </row>
    <row r="39" spans="1:27" ht="14.25" x14ac:dyDescent="0.2">
      <c r="A39" s="1"/>
      <c r="B39" s="1"/>
      <c r="C39" s="1"/>
      <c r="D39" s="1"/>
      <c r="E39" s="1"/>
      <c r="F39" s="1"/>
      <c r="G39" s="1"/>
      <c r="H39" s="1"/>
      <c r="I39" s="1"/>
      <c r="J39" s="1"/>
      <c r="K39" s="180"/>
      <c r="L39" s="180"/>
      <c r="M39" s="180"/>
      <c r="N39" s="180"/>
      <c r="O39" s="180"/>
      <c r="P39" s="180"/>
      <c r="Q39" s="180"/>
      <c r="R39" s="180"/>
      <c r="S39" s="180"/>
      <c r="T39" s="180"/>
      <c r="U39" s="1"/>
      <c r="V39" s="1"/>
      <c r="W39" s="1"/>
      <c r="X39" s="1"/>
      <c r="Y39" s="1"/>
      <c r="Z39" s="1"/>
      <c r="AA39" s="1"/>
    </row>
    <row r="40" spans="1:27" ht="15" x14ac:dyDescent="0.25">
      <c r="A40" s="1"/>
      <c r="B40" s="1"/>
      <c r="C40" s="1"/>
      <c r="D40" s="1"/>
      <c r="E40" s="1"/>
      <c r="F40" s="1"/>
      <c r="G40" s="1"/>
      <c r="H40" s="1"/>
      <c r="I40" s="1"/>
      <c r="J40" s="1"/>
      <c r="K40" s="31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40" s="317"/>
      <c r="M40" s="317"/>
      <c r="N40" s="317"/>
      <c r="O40" s="317"/>
      <c r="P40" s="317"/>
      <c r="Q40" s="317"/>
      <c r="R40" s="317"/>
      <c r="S40" s="317"/>
      <c r="T40" s="318"/>
      <c r="U40" s="1"/>
      <c r="V40" s="1"/>
      <c r="W40" s="1"/>
      <c r="X40" s="1"/>
      <c r="Y40" s="1"/>
      <c r="Z40" s="1"/>
      <c r="AA40" s="1"/>
    </row>
    <row r="41" spans="1:27" x14ac:dyDescent="0.2">
      <c r="A41" s="1"/>
      <c r="B41" s="1"/>
      <c r="C41" s="1"/>
      <c r="D41" s="1"/>
      <c r="E41" s="1"/>
      <c r="F41" s="1"/>
      <c r="G41" s="1"/>
      <c r="H41" s="1"/>
      <c r="I41" s="1"/>
      <c r="J41" s="1"/>
      <c r="K41" s="1"/>
      <c r="L41" s="1"/>
      <c r="M41" s="1"/>
      <c r="N41" s="1"/>
      <c r="O41" s="1"/>
      <c r="P41" s="1"/>
      <c r="Q41" s="1"/>
      <c r="R41" s="1"/>
      <c r="S41" s="1"/>
      <c r="T41" s="1"/>
      <c r="U41" s="1"/>
      <c r="V41" s="1"/>
      <c r="W41" s="1"/>
      <c r="X41" s="1"/>
      <c r="Y41" s="1"/>
      <c r="Z41" s="1"/>
      <c r="AA41" s="1"/>
    </row>
    <row r="42" spans="1:27" ht="21"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x14ac:dyDescent="0.2">
      <c r="A43" s="1"/>
      <c r="B43" s="1"/>
      <c r="C43" s="1"/>
      <c r="D43" s="1"/>
      <c r="E43" s="1"/>
      <c r="F43" s="1"/>
      <c r="G43" s="1"/>
      <c r="H43" s="1"/>
      <c r="I43" s="1"/>
      <c r="J43" s="1"/>
      <c r="K43" s="329" t="str">
        <f>Import.Município</f>
        <v>BENTO GONÇALVES/RS</v>
      </c>
      <c r="L43" s="329"/>
      <c r="M43" s="329"/>
      <c r="N43" s="1"/>
      <c r="O43" s="1"/>
      <c r="P43" s="1"/>
      <c r="Q43" s="1"/>
      <c r="R43" s="1"/>
      <c r="S43" s="1"/>
      <c r="T43" s="1"/>
      <c r="U43" s="1"/>
      <c r="V43" s="1"/>
      <c r="W43" s="1"/>
      <c r="X43" s="1"/>
      <c r="Y43" s="1"/>
      <c r="Z43" s="1"/>
      <c r="AA43" s="1"/>
    </row>
    <row r="44" spans="1:27" x14ac:dyDescent="0.2">
      <c r="A44" s="1"/>
      <c r="B44" s="1"/>
      <c r="C44" s="1"/>
      <c r="D44" s="1"/>
      <c r="E44" s="1"/>
      <c r="F44" s="1"/>
      <c r="G44" s="1"/>
      <c r="H44" s="1"/>
      <c r="I44" s="1"/>
      <c r="J44" s="1"/>
      <c r="K44" s="97" t="s">
        <v>120</v>
      </c>
      <c r="L44" s="1"/>
      <c r="M44" s="1"/>
      <c r="N44" s="1"/>
      <c r="O44" s="1"/>
      <c r="P44" s="1"/>
      <c r="Q44" s="1"/>
      <c r="R44" s="1"/>
      <c r="S44" s="1"/>
      <c r="T44" s="1"/>
      <c r="U44" s="1"/>
      <c r="V44" s="1"/>
      <c r="W44" s="1"/>
      <c r="X44" s="1"/>
      <c r="Y44" s="1"/>
      <c r="Z44" s="1"/>
      <c r="AA44" s="1"/>
    </row>
    <row r="45" spans="1:27" x14ac:dyDescent="0.2">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x14ac:dyDescent="0.2">
      <c r="A46" s="1"/>
      <c r="B46" s="1"/>
      <c r="C46" s="1"/>
      <c r="D46" s="1"/>
      <c r="E46" s="1"/>
      <c r="F46" s="1"/>
      <c r="G46" s="1"/>
      <c r="H46" s="1"/>
      <c r="I46" s="1"/>
      <c r="J46" s="1"/>
      <c r="K46" s="328">
        <f ca="1">TODAY()</f>
        <v>45735</v>
      </c>
      <c r="L46" s="328"/>
      <c r="M46" s="328"/>
      <c r="N46" s="1"/>
      <c r="O46" s="1"/>
      <c r="P46" s="1"/>
      <c r="Q46" s="1"/>
      <c r="R46" s="1"/>
      <c r="S46" s="1"/>
      <c r="T46" s="1"/>
      <c r="U46" s="1"/>
      <c r="V46" s="1"/>
      <c r="W46" s="1"/>
      <c r="X46" s="1"/>
      <c r="Y46" s="1"/>
      <c r="Z46" s="1"/>
      <c r="AA46" s="1"/>
    </row>
    <row r="47" spans="1:27" x14ac:dyDescent="0.2">
      <c r="A47" s="1"/>
      <c r="B47" s="1"/>
      <c r="C47" s="1"/>
      <c r="D47" s="1"/>
      <c r="E47" s="1"/>
      <c r="F47" s="1"/>
      <c r="G47" s="1"/>
      <c r="H47" s="1"/>
      <c r="I47" s="1"/>
      <c r="J47" s="1"/>
      <c r="K47" s="119" t="s">
        <v>121</v>
      </c>
      <c r="L47" s="69"/>
      <c r="M47" s="69"/>
      <c r="N47" s="1"/>
      <c r="O47" s="1"/>
      <c r="P47" s="1"/>
      <c r="Q47" s="1"/>
      <c r="R47" s="1"/>
      <c r="S47" s="1"/>
      <c r="T47" s="1"/>
      <c r="U47" s="1"/>
      <c r="V47" s="1"/>
      <c r="W47" s="1"/>
      <c r="X47" s="1"/>
      <c r="Y47" s="1"/>
      <c r="Z47" s="1"/>
      <c r="AA47" s="1"/>
    </row>
  </sheetData>
  <sheetProtection algorithmName="SHA-512" hashValue="lj6x5oqKPUNwG5CMo0wSVCxqEDkUNRLatvKvO0ML7lgeOsRNiInyoj02qNR7WMmKv/ZEHe5WcnwZALdDwxTxLA==" saltValue="pKspWEHyDGayC3sDlnP/GQ==" spinCount="100000" sheet="1" objects="1" scenarios="1"/>
  <mergeCells count="6">
    <mergeCell ref="W2:X2"/>
    <mergeCell ref="K40:T40"/>
    <mergeCell ref="K36:T38"/>
    <mergeCell ref="M33:T33"/>
    <mergeCell ref="K46:M46"/>
    <mergeCell ref="K43:M43"/>
  </mergeCells>
  <phoneticPr fontId="25" type="noConversion"/>
  <conditionalFormatting sqref="O12:R12 L12:M12">
    <cfRule type="expression" dxfId="105" priority="5164" stopIfTrue="1">
      <formula>$J12=$C$2</formula>
    </cfRule>
    <cfRule type="expression" dxfId="104" priority="5165" stopIfTrue="1">
      <formula>UPPER(LEFT($J12,5))="NÍVEL"</formula>
    </cfRule>
    <cfRule type="expression" dxfId="103" priority="5166" stopIfTrue="1">
      <formula>$J12=$C$8</formula>
    </cfRule>
  </conditionalFormatting>
  <conditionalFormatting sqref="Y12:Z12 S12:T12 K12">
    <cfRule type="expression" dxfId="102" priority="5167" stopIfTrue="1">
      <formula>$J12=$C$2</formula>
    </cfRule>
    <cfRule type="expression" dxfId="101" priority="5168" stopIfTrue="1">
      <formula>UPPER(LEFT($J12,5))="NÍVEL"</formula>
    </cfRule>
  </conditionalFormatting>
  <conditionalFormatting sqref="K11 K13:K31">
    <cfRule type="expression" dxfId="100" priority="5180" stopIfTrue="1">
      <formula>$J11=$C$2</formula>
    </cfRule>
    <cfRule type="expression" dxfId="99" priority="5181" stopIfTrue="1">
      <formula>AND($J11&lt;&gt;"",$J11&lt;&gt;"Serviço")</formula>
    </cfRule>
    <cfRule type="expression" dxfId="98" priority="5182" stopIfTrue="1">
      <formula>$J11=""</formula>
    </cfRule>
  </conditionalFormatting>
  <conditionalFormatting sqref="P11 P13:P31">
    <cfRule type="expression" dxfId="97" priority="3507" stopIfTrue="1">
      <formula>$J11=$C$2</formula>
    </cfRule>
    <cfRule type="expression" dxfId="96" priority="5186" stopIfTrue="1">
      <formula>AND($J11&lt;&gt;"Serviço")</formula>
    </cfRule>
    <cfRule type="expression" dxfId="95" priority="5187" stopIfTrue="1">
      <formula>CELL("proteger",P11)</formula>
    </cfRule>
  </conditionalFormatting>
  <conditionalFormatting sqref="Q11:R11 Q13:R31">
    <cfRule type="expression" dxfId="94" priority="5188" stopIfTrue="1">
      <formula>$J11=$C$2</formula>
    </cfRule>
    <cfRule type="expression" dxfId="93" priority="5189" stopIfTrue="1">
      <formula>$J11&lt;&gt;"Serviço"</formula>
    </cfRule>
    <cfRule type="expression" dxfId="92" priority="5190" stopIfTrue="1">
      <formula>CELL("proteger",Q11)</formula>
    </cfRule>
  </conditionalFormatting>
  <conditionalFormatting sqref="S11:T11 Y11:Z11 S13:T31 Y13:Z31">
    <cfRule type="expression" dxfId="91" priority="5191" stopIfTrue="1">
      <formula>$J11=$C$2</formula>
    </cfRule>
    <cfRule type="expression" dxfId="90" priority="5192" stopIfTrue="1">
      <formula>$J11&lt;&gt;"Serviço"</formula>
    </cfRule>
  </conditionalFormatting>
  <conditionalFormatting sqref="L11:M11 L13:M31">
    <cfRule type="expression" dxfId="89" priority="5212" stopIfTrue="1">
      <formula>$J11=$C$2</formula>
    </cfRule>
    <cfRule type="expression" dxfId="88" priority="5213" stopIfTrue="1">
      <formula>$J11&lt;&gt;"Serviço"</formula>
    </cfRule>
    <cfRule type="expression" dxfId="87" priority="5214" stopIfTrue="1">
      <formula>OR(CELL("proteger",L11),$J11="",TipoOrçamento="Licitado")</formula>
    </cfRule>
  </conditionalFormatting>
  <conditionalFormatting sqref="K33:T33">
    <cfRule type="expression" dxfId="86" priority="5193" stopIfTrue="1">
      <formula>OR(Tipo.Orçamento="LICITADO",Tipo.Orçamento="REPROGRAMADOAC")</formula>
    </cfRule>
    <cfRule type="expression" dxfId="85" priority="5194" stopIfTrue="1">
      <formula>$M$33=""</formula>
    </cfRule>
  </conditionalFormatting>
  <conditionalFormatting sqref="J11 J13:J16">
    <cfRule type="expression" dxfId="84" priority="5221" stopIfTrue="1">
      <formula>TipoOrçamento="Licitado"</formula>
    </cfRule>
  </conditionalFormatting>
  <conditionalFormatting sqref="O11 O13:O31">
    <cfRule type="expression" dxfId="83" priority="3527" stopIfTrue="1">
      <formula>$J11=$C$2</formula>
    </cfRule>
    <cfRule type="expression" dxfId="82" priority="3528" stopIfTrue="1">
      <formula>AND($J11&lt;&gt;"Serviço")</formula>
    </cfRule>
    <cfRule type="expression" dxfId="81" priority="3529" stopIfTrue="1">
      <formula>CELL("proteger",O11)</formula>
    </cfRule>
  </conditionalFormatting>
  <conditionalFormatting sqref="N11 N14:N31">
    <cfRule type="expression" dxfId="80" priority="3530" stopIfTrue="1">
      <formula>$J11=$C$2</formula>
    </cfRule>
    <cfRule type="expression" dxfId="79" priority="3531" stopIfTrue="1">
      <formula>$J11&lt;&gt;"Serviço"</formula>
    </cfRule>
    <cfRule type="expression" dxfId="78" priority="3532" stopIfTrue="1">
      <formula>CELL("proteger",N11)</formula>
    </cfRule>
  </conditionalFormatting>
  <conditionalFormatting sqref="N13">
    <cfRule type="expression" dxfId="77" priority="3396" stopIfTrue="1">
      <formula>$J13=$C$2</formula>
    </cfRule>
    <cfRule type="expression" dxfId="76" priority="3397" stopIfTrue="1">
      <formula>$J13&lt;&gt;"Serviço"</formula>
    </cfRule>
    <cfRule type="expression" dxfId="75" priority="3398" stopIfTrue="1">
      <formula>CELL("proteger",N13)</formula>
    </cfRule>
  </conditionalFormatting>
  <conditionalFormatting sqref="J17:J19">
    <cfRule type="expression" dxfId="74" priority="23" stopIfTrue="1">
      <formula>TipoOrçamento="Licitado"</formula>
    </cfRule>
  </conditionalFormatting>
  <conditionalFormatting sqref="J20:J30">
    <cfRule type="expression" dxfId="73" priority="2" stopIfTrue="1">
      <formula>TipoOrçamento="Licitado"</formula>
    </cfRule>
  </conditionalFormatting>
  <conditionalFormatting sqref="J31">
    <cfRule type="expression" dxfId="72" priority="1" stopIfTrue="1">
      <formula>TipoOrçamento="Licitado"</formula>
    </cfRule>
  </conditionalFormatting>
  <dataValidations disablePrompts="1" count="3">
    <dataValidation type="decimal" operator="greaterThan" allowBlank="1" showInputMessage="1" showErrorMessage="1" error="Apenas números decimais maiores que zero." sqref="Q11 Q13:Q31" xr:uid="{00000000-0002-0000-03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31" xr:uid="{00000000-0002-0000-03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31" xr:uid="{00000000-0002-0000-0300-000002000000}">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43 K46"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2">
    <tabColor rgb="FFFFFF00"/>
  </sheetPr>
  <dimension ref="A1:U38"/>
  <sheetViews>
    <sheetView showGridLines="0" zoomScale="70" zoomScaleNormal="70" workbookViewId="0">
      <selection activeCell="K31" sqref="K31"/>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60" t="s">
        <v>234</v>
      </c>
      <c r="G9" s="360"/>
      <c r="H9" s="360"/>
      <c r="I9" s="360"/>
      <c r="J9" s="360"/>
      <c r="K9" s="360"/>
      <c r="L9" s="360"/>
      <c r="M9" s="360"/>
      <c r="N9" s="360"/>
      <c r="O9" s="360"/>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ht="25.5" x14ac:dyDescent="0.2">
      <c r="A13" s="108" t="str">
        <f ca="1">OFFSET(PO!J$12,ROW(A13)-ROW($A$12),0)</f>
        <v>Meta</v>
      </c>
      <c r="B13" s="112" t="str">
        <f ca="1">IF($A13=0,"",OFFSET(PO!K$12,ROW(B13)-ROW(B$12),0))</f>
        <v>1.</v>
      </c>
      <c r="C13" s="109" t="str">
        <f ca="1">IF(OFFSET(PO!N$12,ROW(C13)-ROW(C$12),0)=0,"",OFFSET(PO!N$12,ROW(C13)-ROW(C$12),0))</f>
        <v>Lote 01  - Manutenção e Reparos Abrigos Passagerios Onibus e Táxi</v>
      </c>
      <c r="D13" s="111" t="str">
        <f ca="1">IF(OFFSET(PO!O$12,ROW(D13)-ROW(D$12),0)=0,"",OFFSET(PO!O$12,ROW(D13)-ROW(D$12),0))</f>
        <v/>
      </c>
      <c r="E13" s="140">
        <f ca="1">IF($A13&lt;&gt;"Serviço",0,ROUND(SUMIF($F$9:$P$9,"&lt;&gt;",$F13:$P13),15-13*PO!$X$3))</f>
        <v>0</v>
      </c>
      <c r="F13" s="359">
        <f ca="1">OFFSET(PO!$P$12,ROW($E13)-ROW(F$12),0)</f>
        <v>0</v>
      </c>
      <c r="G13" s="359"/>
      <c r="H13" s="359"/>
      <c r="I13" s="359"/>
      <c r="J13" s="359"/>
      <c r="K13" s="359"/>
      <c r="L13" s="359"/>
      <c r="M13" s="359"/>
      <c r="N13" s="359"/>
      <c r="O13" s="359"/>
      <c r="U13" s="182"/>
    </row>
    <row r="14" spans="1:21" s="1" customFormat="1" ht="25.5" x14ac:dyDescent="0.2">
      <c r="A14" s="110" t="str">
        <f ca="1">OFFSET(PO!J$12,ROW(A14)-ROW($A$12),0)</f>
        <v>Serviço</v>
      </c>
      <c r="B14" s="112" t="str">
        <f ca="1">IF($A14=0,"",OFFSET(PO!K$12,ROW(B14)-ROW(B$12),0))</f>
        <v>1.1.</v>
      </c>
      <c r="C14" s="109" t="str">
        <f ca="1">IF(OFFSET(PO!N$12,ROW(C14)-ROW(C$12),0)=0,"",OFFSET(PO!N$12,ROW(C14)-ROW(C$12),0))</f>
        <v>Isolamento de segurança do local, incluso insumos, equipamentos e pessoal necessário.</v>
      </c>
      <c r="D14" s="111" t="str">
        <f ca="1">IF(OFFSET(PO!O$12,ROW(D14)-ROW(D$12),0)=0,"",OFFSET(PO!O$12,ROW(D14)-ROW(D$12),0))</f>
        <v>un</v>
      </c>
      <c r="E14" s="140">
        <f ca="1">IF($A14&lt;&gt;"Serviço",0,ROUND(SUMIF($F$9:$P$9,"&lt;&gt;",$F14:$P14),15-13*PO!$X$3))</f>
        <v>70</v>
      </c>
      <c r="F14" s="359">
        <f ca="1">OFFSET(PO!$P$12,ROW($E14)-ROW(F$12),0)</f>
        <v>70</v>
      </c>
      <c r="G14" s="359"/>
      <c r="H14" s="359"/>
      <c r="I14" s="359"/>
      <c r="J14" s="359"/>
      <c r="K14" s="359"/>
      <c r="L14" s="359"/>
      <c r="M14" s="359"/>
      <c r="N14" s="359"/>
      <c r="O14" s="359"/>
      <c r="U14" s="182"/>
    </row>
    <row r="15" spans="1:21" s="1" customFormat="1" ht="25.5" x14ac:dyDescent="0.2">
      <c r="A15" s="110" t="str">
        <f ca="1">OFFSET(PO!J$12,ROW(A15)-ROW($A$12),0)</f>
        <v>Serviço</v>
      </c>
      <c r="B15" s="112" t="str">
        <f ca="1">IF($A15=0,"",OFFSET(PO!K$12,ROW(B15)-ROW(B$12),0))</f>
        <v>1.2.</v>
      </c>
      <c r="C15" s="109" t="str">
        <f ca="1">IF(OFFSET(PO!N$12,ROW(C15)-ROW(C$12),0)=0,"",OFFSET(PO!N$12,ROW(C15)-ROW(C$12),0))</f>
        <v>Retirada ou Desmontagem de cobertura de policarbonato alveolar, incluso insumos, equipamentos e pessoal necessário.</v>
      </c>
      <c r="D15" s="111" t="str">
        <f ca="1">IF(OFFSET(PO!O$12,ROW(D15)-ROW(D$12),0)=0,"",OFFSET(PO!O$12,ROW(D15)-ROW(D$12),0))</f>
        <v>m²</v>
      </c>
      <c r="E15" s="140">
        <f ca="1">IF($A15&lt;&gt;"Serviço",0,ROUND(SUMIF($F$9:$P$9,"&lt;&gt;",$F15:$P15),15-13*PO!$X$3))</f>
        <v>591</v>
      </c>
      <c r="F15" s="359">
        <f ca="1">OFFSET(PO!$P$12,ROW($E15)-ROW(F$12),0)</f>
        <v>591</v>
      </c>
      <c r="G15" s="359"/>
      <c r="H15" s="359"/>
      <c r="I15" s="359"/>
      <c r="J15" s="359"/>
      <c r="K15" s="359"/>
      <c r="L15" s="359"/>
      <c r="M15" s="359"/>
      <c r="N15" s="359"/>
      <c r="O15" s="359"/>
      <c r="U15" s="182"/>
    </row>
    <row r="16" spans="1:21" s="1" customFormat="1" ht="25.5" x14ac:dyDescent="0.2">
      <c r="A16" s="110" t="str">
        <f ca="1">OFFSET(PO!J$12,ROW(A16)-ROW($A$12),0)</f>
        <v>Serviço</v>
      </c>
      <c r="B16" s="112" t="str">
        <f ca="1">IF($A16=0,"",OFFSET(PO!K$12,ROW(B16)-ROW(B$12),0))</f>
        <v>1.3.</v>
      </c>
      <c r="C16" s="109" t="str">
        <f ca="1">IF(OFFSET(PO!N$12,ROW(C16)-ROW(C$12),0)=0,"",OFFSET(PO!N$12,ROW(C16)-ROW(C$12),0))</f>
        <v>Retirada ou Desmonstagem de chapas de policarbonato compacto ou acrilico,  incluso insumos, equipamentos e pessoal necessário.</v>
      </c>
      <c r="D16" s="111" t="str">
        <f ca="1">IF(OFFSET(PO!O$12,ROW(D16)-ROW(D$12),0)=0,"",OFFSET(PO!O$12,ROW(D16)-ROW(D$12),0))</f>
        <v>m²</v>
      </c>
      <c r="E16" s="140">
        <f ca="1">IF($A16&lt;&gt;"Serviço",0,ROUND(SUMIF($F$9:$P$9,"&lt;&gt;",$F16:$P16),15-13*PO!$X$3))</f>
        <v>210</v>
      </c>
      <c r="F16" s="359">
        <f ca="1">OFFSET(PO!$P$12,ROW($E16)-ROW(F$12),0)</f>
        <v>210</v>
      </c>
      <c r="G16" s="359"/>
      <c r="H16" s="359"/>
      <c r="I16" s="359"/>
      <c r="J16" s="359"/>
      <c r="K16" s="359"/>
      <c r="L16" s="359"/>
      <c r="M16" s="359"/>
      <c r="N16" s="359"/>
      <c r="O16" s="359"/>
      <c r="U16" s="182"/>
    </row>
    <row r="17" spans="1:21" s="1" customFormat="1" ht="51" x14ac:dyDescent="0.2">
      <c r="A17" s="110" t="str">
        <f ca="1">OFFSET(PO!J$12,ROW(A17)-ROW($A$12),0)</f>
        <v>Serviço</v>
      </c>
      <c r="B17" s="112" t="str">
        <f ca="1">IF($A17=0,"",OFFSET(PO!K$12,ROW(B17)-ROW(B$12),0))</f>
        <v>1.4.</v>
      </c>
      <c r="C17" s="109" t="str">
        <f ca="1">IF(OFFSET(PO!N$12,ROW(C17)-ROW(C$12),0)=0,"",OFFSET(PO!N$12,ROW(C17)-ROW(C$12),0))</f>
        <v>Retirada da Estrutura Metálica dos Abrigos (todos os tipos) com guindauto e transporte até as dependencias da empresa, local da execução dos reparos e manutenções, incluso: insumos, pessoal e equipamntos necessários.</v>
      </c>
      <c r="D17" s="111" t="str">
        <f ca="1">IF(OFFSET(PO!O$12,ROW(D17)-ROW(D$12),0)=0,"",OFFSET(PO!O$12,ROW(D17)-ROW(D$12),0))</f>
        <v>un</v>
      </c>
      <c r="E17" s="140">
        <f ca="1">IF($A17&lt;&gt;"Serviço",0,ROUND(SUMIF($F$9:$P$9,"&lt;&gt;",$F17:$P17),15-13*PO!$X$3))</f>
        <v>20</v>
      </c>
      <c r="F17" s="359">
        <f ca="1">OFFSET(PO!$P$12,ROW($E17)-ROW(F$12),0)</f>
        <v>20</v>
      </c>
      <c r="G17" s="359"/>
      <c r="H17" s="359"/>
      <c r="I17" s="359"/>
      <c r="J17" s="359"/>
      <c r="K17" s="359"/>
      <c r="L17" s="359"/>
      <c r="M17" s="359"/>
      <c r="N17" s="359"/>
      <c r="O17" s="359"/>
      <c r="U17" s="182"/>
    </row>
    <row r="18" spans="1:21" s="1" customFormat="1" ht="25.5" x14ac:dyDescent="0.2">
      <c r="A18" s="110" t="str">
        <f ca="1">OFFSET(PO!J$12,ROW(A18)-ROW($A$12),0)</f>
        <v>Serviço</v>
      </c>
      <c r="B18" s="112" t="str">
        <f ca="1">IF($A18=0,"",OFFSET(PO!K$12,ROW(B18)-ROW(B$12),0))</f>
        <v>1.5.</v>
      </c>
      <c r="C18" s="109" t="str">
        <f ca="1">IF(OFFSET(PO!N$12,ROW(C18)-ROW(C$12),0)=0,"",OFFSET(PO!N$12,ROW(C18)-ROW(C$12),0))</f>
        <v>Transporte, carga, descarga p/ destinação de residuos até o local da reciclagem.</v>
      </c>
      <c r="D18" s="111" t="str">
        <f ca="1">IF(OFFSET(PO!O$12,ROW(D18)-ROW(D$12),0)=0,"",OFFSET(PO!O$12,ROW(D18)-ROW(D$12),0))</f>
        <v xml:space="preserve">un </v>
      </c>
      <c r="E18" s="140">
        <f ca="1">IF($A18&lt;&gt;"Serviço",0,ROUND(SUMIF($F$9:$P$9,"&lt;&gt;",$F18:$P18),15-13*PO!$X$3))</f>
        <v>5</v>
      </c>
      <c r="F18" s="359">
        <f ca="1">OFFSET(PO!$P$12,ROW($E18)-ROW(F$12),0)</f>
        <v>5</v>
      </c>
      <c r="G18" s="359"/>
      <c r="H18" s="359"/>
      <c r="I18" s="359"/>
      <c r="J18" s="359"/>
      <c r="K18" s="359"/>
      <c r="L18" s="359"/>
      <c r="M18" s="359"/>
      <c r="N18" s="359"/>
      <c r="O18" s="359"/>
      <c r="U18" s="182"/>
    </row>
    <row r="19" spans="1:21" s="1" customFormat="1" ht="38.25" x14ac:dyDescent="0.2">
      <c r="A19" s="110" t="str">
        <f ca="1">OFFSET(PO!J$12,ROW(A19)-ROW($A$12),0)</f>
        <v>Serviço</v>
      </c>
      <c r="B19" s="112" t="str">
        <f ca="1">IF($A19=0,"",OFFSET(PO!K$12,ROW(B19)-ROW(B$12),0))</f>
        <v>1.6.</v>
      </c>
      <c r="C19" s="109" t="str">
        <f ca="1">IF(OFFSET(PO!N$12,ROW(C19)-ROW(C$12),0)=0,"",OFFSET(PO!N$12,ROW(C19)-ROW(C$12),0))</f>
        <v>Instalação da Estrutura dos Abrigos (todos os tipos) com guindauto e transporte até o local de reinstalação dos abrigos, incluso: insumos, pessoal e equipamntos necessários.</v>
      </c>
      <c r="D19" s="111" t="str">
        <f ca="1">IF(OFFSET(PO!O$12,ROW(D19)-ROW(D$12),0)=0,"",OFFSET(PO!O$12,ROW(D19)-ROW(D$12),0))</f>
        <v>un</v>
      </c>
      <c r="E19" s="140">
        <f ca="1">IF($A19&lt;&gt;"Serviço",0,ROUND(SUMIF($F$9:$P$9,"&lt;&gt;",$F19:$P19),15-13*PO!$X$3))</f>
        <v>20</v>
      </c>
      <c r="F19" s="359">
        <f ca="1">OFFSET(PO!$P$12,ROW($E19)-ROW(F$12),0)</f>
        <v>20</v>
      </c>
      <c r="G19" s="359"/>
      <c r="H19" s="359"/>
      <c r="I19" s="359"/>
      <c r="J19" s="359"/>
      <c r="K19" s="359"/>
      <c r="L19" s="359"/>
      <c r="M19" s="359"/>
      <c r="N19" s="359"/>
      <c r="O19" s="359"/>
      <c r="U19" s="182"/>
    </row>
    <row r="20" spans="1:21" s="1" customFormat="1" ht="25.5" x14ac:dyDescent="0.2">
      <c r="A20" s="110" t="str">
        <f ca="1">OFFSET(PO!J$12,ROW(A20)-ROW($A$12),0)</f>
        <v>Serviço</v>
      </c>
      <c r="B20" s="112" t="str">
        <f ca="1">IF($A20=0,"",OFFSET(PO!K$12,ROW(B20)-ROW(B$12),0))</f>
        <v>1.7.</v>
      </c>
      <c r="C20" s="109" t="str">
        <f ca="1">IF(OFFSET(PO!N$12,ROW(C20)-ROW(C$12),0)=0,"",OFFSET(PO!N$12,ROW(C20)-ROW(C$12),0))</f>
        <v>Reparos e manutenção em estrutura metálica dos abrigos, incluso todos os insumos, materias, equipamentos e pessaol necessário.</v>
      </c>
      <c r="D20" s="111" t="str">
        <f ca="1">IF(OFFSET(PO!O$12,ROW(D20)-ROW(D$12),0)=0,"",OFFSET(PO!O$12,ROW(D20)-ROW(D$12),0))</f>
        <v>kg</v>
      </c>
      <c r="E20" s="140">
        <f ca="1">IF($A20&lt;&gt;"Serviço",0,ROUND(SUMIF($F$9:$P$9,"&lt;&gt;",$F20:$P20),15-13*PO!$X$3))</f>
        <v>965</v>
      </c>
      <c r="F20" s="359">
        <f ca="1">OFFSET(PO!$P$12,ROW($E20)-ROW(F$12),0)</f>
        <v>965</v>
      </c>
      <c r="G20" s="359"/>
      <c r="H20" s="359"/>
      <c r="I20" s="359"/>
      <c r="J20" s="359"/>
      <c r="K20" s="359"/>
      <c r="L20" s="359"/>
      <c r="M20" s="359"/>
      <c r="N20" s="359"/>
      <c r="O20" s="359"/>
      <c r="U20" s="182"/>
    </row>
    <row r="21" spans="1:21" s="1" customFormat="1" ht="38.25" x14ac:dyDescent="0.2">
      <c r="A21" s="110" t="str">
        <f ca="1">OFFSET(PO!J$12,ROW(A21)-ROW($A$12),0)</f>
        <v>Serviço</v>
      </c>
      <c r="B21" s="112" t="str">
        <f ca="1">IF($A21=0,"",OFFSET(PO!K$12,ROW(B21)-ROW(B$12),0))</f>
        <v>1.8.</v>
      </c>
      <c r="C21" s="109" t="str">
        <f ca="1">IF(OFFSET(PO!N$12,ROW(C21)-ROW(C$12),0)=0,"",OFFSET(PO!N$12,ROW(C21)-ROW(C$12),0))</f>
        <v>Pintura Pulverizada com esmalte sintético da estrutura metálica nas dependencias da empresa (local de pintura próprio),  incluso insumos, equipamentos e pessoal necessário.</v>
      </c>
      <c r="D21" s="111" t="str">
        <f ca="1">IF(OFFSET(PO!O$12,ROW(D21)-ROW(D$12),0)=0,"",OFFSET(PO!O$12,ROW(D21)-ROW(D$12),0))</f>
        <v>m²</v>
      </c>
      <c r="E21" s="140">
        <f ca="1">IF($A21&lt;&gt;"Serviço",0,ROUND(SUMIF($F$9:$P$9,"&lt;&gt;",$F21:$P21),15-13*PO!$X$3))</f>
        <v>169</v>
      </c>
      <c r="F21" s="359">
        <f ca="1">OFFSET(PO!$P$12,ROW($E21)-ROW(F$12),0)</f>
        <v>169</v>
      </c>
      <c r="G21" s="359"/>
      <c r="H21" s="359"/>
      <c r="I21" s="359"/>
      <c r="J21" s="359"/>
      <c r="K21" s="359"/>
      <c r="L21" s="359"/>
      <c r="M21" s="359"/>
      <c r="N21" s="359"/>
      <c r="O21" s="359"/>
      <c r="U21" s="182"/>
    </row>
    <row r="22" spans="1:21" s="1" customFormat="1" ht="25.5" x14ac:dyDescent="0.2">
      <c r="A22" s="110" t="str">
        <f ca="1">OFFSET(PO!J$12,ROW(A22)-ROW($A$12),0)</f>
        <v>Serviço</v>
      </c>
      <c r="B22" s="112" t="str">
        <f ca="1">IF($A22=0,"",OFFSET(PO!K$12,ROW(B22)-ROW(B$12),0))</f>
        <v>1.9.</v>
      </c>
      <c r="C22" s="109" t="str">
        <f ca="1">IF(OFFSET(PO!N$12,ROW(C22)-ROW(C$12),0)=0,"",OFFSET(PO!N$12,ROW(C22)-ROW(C$12),0))</f>
        <v>Pintura Manual com esmalte sintético da estrutura metálica no local, incluso insumos, equipamentos e pessoal necessário.</v>
      </c>
      <c r="D22" s="111" t="str">
        <f ca="1">IF(OFFSET(PO!O$12,ROW(D22)-ROW(D$12),0)=0,"",OFFSET(PO!O$12,ROW(D22)-ROW(D$12),0))</f>
        <v>m²</v>
      </c>
      <c r="E22" s="140">
        <f ca="1">IF($A22&lt;&gt;"Serviço",0,ROUND(SUMIF($F$9:$P$9,"&lt;&gt;",$F22:$P22),15-13*PO!$X$3))</f>
        <v>591</v>
      </c>
      <c r="F22" s="359">
        <f ca="1">OFFSET(PO!$P$12,ROW($E22)-ROW(F$12),0)</f>
        <v>591</v>
      </c>
      <c r="G22" s="359"/>
      <c r="H22" s="359"/>
      <c r="I22" s="359"/>
      <c r="J22" s="359"/>
      <c r="K22" s="359"/>
      <c r="L22" s="359"/>
      <c r="M22" s="359"/>
      <c r="N22" s="359"/>
      <c r="O22" s="359"/>
      <c r="U22" s="182"/>
    </row>
    <row r="23" spans="1:21" s="1" customFormat="1" ht="51" x14ac:dyDescent="0.2">
      <c r="A23" s="110" t="str">
        <f ca="1">OFFSET(PO!J$12,ROW(A23)-ROW($A$12),0)</f>
        <v>Serviço</v>
      </c>
      <c r="B23" s="112" t="str">
        <f ca="1">IF($A23=0,"",OFFSET(PO!K$12,ROW(B23)-ROW(B$12),0))</f>
        <v>1.10.</v>
      </c>
      <c r="C23" s="109" t="str">
        <f ca="1">IF(OFFSET(PO!N$12,ROW(C23)-ROW(C$12),0)=0,"",OFFSET(PO!N$12,ROW(C23)-ROW(C$12),0))</f>
        <v>Fornecimento e instalação de cobertura de policarbonato alveolar 10mm fume c/ proteção UV, incluso perfis de aluminio, emendas e acabamentos, perfil H PC, parafusos, fitas e silicone de vedação, insumos, equipamentos e pessoal necessário.</v>
      </c>
      <c r="D23" s="111" t="str">
        <f ca="1">IF(OFFSET(PO!O$12,ROW(D23)-ROW(D$12),0)=0,"",OFFSET(PO!O$12,ROW(D23)-ROW(D$12),0))</f>
        <v>m²</v>
      </c>
      <c r="E23" s="140">
        <f ca="1">IF($A23&lt;&gt;"Serviço",0,ROUND(SUMIF($F$9:$P$9,"&lt;&gt;",$F23:$P23),15-13*PO!$X$3))</f>
        <v>591</v>
      </c>
      <c r="F23" s="359">
        <f ca="1">OFFSET(PO!$P$12,ROW($E23)-ROW(F$12),0)</f>
        <v>591</v>
      </c>
      <c r="G23" s="359"/>
      <c r="H23" s="359"/>
      <c r="I23" s="359"/>
      <c r="J23" s="359"/>
      <c r="K23" s="359"/>
      <c r="L23" s="359"/>
      <c r="M23" s="359"/>
      <c r="N23" s="359"/>
      <c r="O23" s="359"/>
      <c r="U23" s="182"/>
    </row>
    <row r="24" spans="1:21" s="1" customFormat="1" ht="38.25" x14ac:dyDescent="0.2">
      <c r="A24" s="110" t="str">
        <f ca="1">OFFSET(PO!J$12,ROW(A24)-ROW($A$12),0)</f>
        <v>Serviço</v>
      </c>
      <c r="B24" s="112" t="str">
        <f ca="1">IF($A24=0,"",OFFSET(PO!K$12,ROW(B24)-ROW(B$12),0))</f>
        <v>1.11.</v>
      </c>
      <c r="C24" s="109" t="str">
        <f ca="1">IF(OFFSET(PO!N$12,ROW(C24)-ROW(C$12),0)=0,"",OFFSET(PO!N$12,ROW(C24)-ROW(C$12),0))</f>
        <v>Fornecimento e instalação de chapa de policarbonato compacto 4mm cristal, incluso parafusos,  incluso insumos, equipamentos e pessoal necessário.</v>
      </c>
      <c r="D24" s="111" t="str">
        <f ca="1">IF(OFFSET(PO!O$12,ROW(D24)-ROW(D$12),0)=0,"",OFFSET(PO!O$12,ROW(D24)-ROW(D$12),0))</f>
        <v>m²</v>
      </c>
      <c r="E24" s="140">
        <f ca="1">IF($A24&lt;&gt;"Serviço",0,ROUND(SUMIF($F$9:$P$9,"&lt;&gt;",$F24:$P24),15-13*PO!$X$3))</f>
        <v>210</v>
      </c>
      <c r="F24" s="359">
        <f ca="1">OFFSET(PO!$P$12,ROW($E24)-ROW(F$12),0)</f>
        <v>210</v>
      </c>
      <c r="G24" s="359"/>
      <c r="H24" s="359"/>
      <c r="I24" s="359"/>
      <c r="J24" s="359"/>
      <c r="K24" s="359"/>
      <c r="L24" s="359"/>
      <c r="M24" s="359"/>
      <c r="N24" s="359"/>
      <c r="O24" s="359"/>
      <c r="U24" s="182"/>
    </row>
    <row r="25" spans="1:21" s="1" customFormat="1" ht="51" x14ac:dyDescent="0.2">
      <c r="A25" s="110" t="str">
        <f ca="1">OFFSET(PO!J$12,ROW(A25)-ROW($A$12),0)</f>
        <v>Serviço</v>
      </c>
      <c r="B25" s="112" t="str">
        <f ca="1">IF($A25=0,"",OFFSET(PO!K$12,ROW(B25)-ROW(B$12),0))</f>
        <v>1.12.</v>
      </c>
      <c r="C25" s="109" t="str">
        <f ca="1">IF(OFFSET(PO!N$12,ROW(C25)-ROW(C$12),0)=0,"",OFFSET(PO!N$12,ROW(C25)-ROW(C$12),0))</f>
        <v>Fornecimento e instalação de madeira aparelhada e boleada para assento de usuários c/ espessura 25mm, largura 250mm e comprimento variável, incluso parafusos, insumos, equipamentos e pessoal necessário.</v>
      </c>
      <c r="D25" s="111" t="str">
        <f ca="1">IF(OFFSET(PO!O$12,ROW(D25)-ROW(D$12),0)=0,"",OFFSET(PO!O$12,ROW(D25)-ROW(D$12),0))</f>
        <v>m</v>
      </c>
      <c r="E25" s="140">
        <f ca="1">IF($A25&lt;&gt;"Serviço",0,ROUND(SUMIF($F$9:$P$9,"&lt;&gt;",$F25:$P25),15-13*PO!$X$3))</f>
        <v>210</v>
      </c>
      <c r="F25" s="359">
        <f ca="1">OFFSET(PO!$P$12,ROW($E25)-ROW(F$12),0)</f>
        <v>210</v>
      </c>
      <c r="G25" s="359"/>
      <c r="H25" s="359"/>
      <c r="I25" s="359"/>
      <c r="J25" s="359"/>
      <c r="K25" s="359"/>
      <c r="L25" s="359"/>
      <c r="M25" s="359"/>
      <c r="N25" s="359"/>
      <c r="O25" s="359"/>
      <c r="U25" s="182"/>
    </row>
    <row r="26" spans="1:21" s="1" customFormat="1" ht="38.25" x14ac:dyDescent="0.2">
      <c r="A26" s="110" t="str">
        <f ca="1">OFFSET(PO!J$12,ROW(A26)-ROW($A$12),0)</f>
        <v>Serviço</v>
      </c>
      <c r="B26" s="112" t="str">
        <f ca="1">IF($A26=0,"",OFFSET(PO!K$12,ROW(B26)-ROW(B$12),0))</f>
        <v>1.13.</v>
      </c>
      <c r="C26" s="109" t="str">
        <f ca="1">IF(OFFSET(PO!N$12,ROW(C26)-ROW(C$12),0)=0,"",OFFSET(PO!N$12,ROW(C26)-ROW(C$12),0))</f>
        <v>Pintura Manual com verniz de poliuretano (3 demãos) da madeira para assento dos usuários,  incluso insumos, equipamentos e pessoal necessário.</v>
      </c>
      <c r="D26" s="111" t="str">
        <f ca="1">IF(OFFSET(PO!O$12,ROW(D26)-ROW(D$12),0)=0,"",OFFSET(PO!O$12,ROW(D26)-ROW(D$12),0))</f>
        <v>m²</v>
      </c>
      <c r="E26" s="140">
        <f ca="1">IF($A26&lt;&gt;"Serviço",0,ROUND(SUMIF($F$9:$P$9,"&lt;&gt;",$F26:$P26),15-13*PO!$X$3))</f>
        <v>116</v>
      </c>
      <c r="F26" s="359">
        <f ca="1">OFFSET(PO!$P$12,ROW($E26)-ROW(F$12),0)</f>
        <v>116</v>
      </c>
      <c r="G26" s="359"/>
      <c r="H26" s="359"/>
      <c r="I26" s="359"/>
      <c r="J26" s="359"/>
      <c r="K26" s="359"/>
      <c r="L26" s="359"/>
      <c r="M26" s="359"/>
      <c r="N26" s="359"/>
      <c r="O26" s="359"/>
      <c r="U26" s="182"/>
    </row>
    <row r="27" spans="1:21" s="1" customFormat="1" ht="38.25" x14ac:dyDescent="0.2">
      <c r="A27" s="110" t="str">
        <f ca="1">OFFSET(PO!J$12,ROW(A27)-ROW($A$12),0)</f>
        <v>Serviço</v>
      </c>
      <c r="B27" s="112" t="str">
        <f ca="1">IF($A27=0,"",OFFSET(PO!K$12,ROW(B27)-ROW(B$12),0))</f>
        <v>1.14.</v>
      </c>
      <c r="C27" s="109" t="str">
        <f ca="1">IF(OFFSET(PO!N$12,ROW(C27)-ROW(C$12),0)=0,"",OFFSET(PO!N$12,ROW(C27)-ROW(C$12),0))</f>
        <v>Reparo de arranque de pilar com Graute Fck 25Mpa com adição de 50% de brita 0, incluso equipamentos, insumos, forma de madeira e pessoal necessário.</v>
      </c>
      <c r="D27" s="111" t="str">
        <f ca="1">IF(OFFSET(PO!O$12,ROW(D27)-ROW(D$12),0)=0,"",OFFSET(PO!O$12,ROW(D27)-ROW(D$12),0))</f>
        <v>m³</v>
      </c>
      <c r="E27" s="140">
        <f ca="1">IF($A27&lt;&gt;"Serviço",0,ROUND(SUMIF($F$9:$P$9,"&lt;&gt;",$F27:$P27),15-13*PO!$X$3))</f>
        <v>8</v>
      </c>
      <c r="F27" s="359">
        <f ca="1">OFFSET(PO!$P$12,ROW($E27)-ROW(F$12),0)</f>
        <v>8</v>
      </c>
      <c r="G27" s="359"/>
      <c r="H27" s="359"/>
      <c r="I27" s="359"/>
      <c r="J27" s="359"/>
      <c r="K27" s="359"/>
      <c r="L27" s="359"/>
      <c r="M27" s="359"/>
      <c r="N27" s="359"/>
      <c r="O27" s="359"/>
      <c r="U27" s="182"/>
    </row>
    <row r="28" spans="1:21" s="1" customFormat="1" ht="25.5" x14ac:dyDescent="0.2">
      <c r="A28" s="110" t="str">
        <f ca="1">OFFSET(PO!J$12,ROW(A28)-ROW($A$12),0)</f>
        <v>Serviço</v>
      </c>
      <c r="B28" s="112" t="str">
        <f ca="1">IF($A28=0,"",OFFSET(PO!K$12,ROW(B28)-ROW(B$12),0))</f>
        <v>1.15.</v>
      </c>
      <c r="C28" s="109" t="str">
        <f ca="1">IF(OFFSET(PO!N$12,ROW(C28)-ROW(C$12),0)=0,"",OFFSET(PO!N$12,ROW(C28)-ROW(C$12),0))</f>
        <v>Demolição de concreto de arranque de pilar com patologia, incluso equipamentos, insumos e pessoal necessário.</v>
      </c>
      <c r="D28" s="111" t="str">
        <f ca="1">IF(OFFSET(PO!O$12,ROW(D28)-ROW(D$12),0)=0,"",OFFSET(PO!O$12,ROW(D28)-ROW(D$12),0))</f>
        <v>m³</v>
      </c>
      <c r="E28" s="140">
        <f ca="1">IF($A28&lt;&gt;"Serviço",0,ROUND(SUMIF($F$9:$P$9,"&lt;&gt;",$F28:$P28),15-13*PO!$X$3))</f>
        <v>8</v>
      </c>
      <c r="F28" s="359">
        <f ca="1">OFFSET(PO!$P$12,ROW($E28)-ROW(F$12),0)</f>
        <v>8</v>
      </c>
      <c r="G28" s="359"/>
      <c r="H28" s="359"/>
      <c r="I28" s="359"/>
      <c r="J28" s="359"/>
      <c r="K28" s="359"/>
      <c r="L28" s="359"/>
      <c r="M28" s="359"/>
      <c r="N28" s="359"/>
      <c r="O28" s="359"/>
      <c r="U28" s="182"/>
    </row>
    <row r="29" spans="1:21" s="1" customFormat="1" ht="38.25" x14ac:dyDescent="0.2">
      <c r="A29" s="110" t="str">
        <f ca="1">OFFSET(PO!J$12,ROW(A29)-ROW($A$12),0)</f>
        <v>Serviço</v>
      </c>
      <c r="B29" s="112" t="str">
        <f ca="1">IF($A29=0,"",OFFSET(PO!K$12,ROW(B29)-ROW(B$12),0))</f>
        <v>1.16.</v>
      </c>
      <c r="C29" s="109" t="str">
        <f ca="1">IF(OFFSET(PO!N$12,ROW(C29)-ROW(C$12),0)=0,"",OFFSET(PO!N$12,ROW(C29)-ROW(C$12),0))</f>
        <v>Chumbamento com chumbador de aço parabolt D 5/8" X 200mm c/ porca, arruela e chumbador químico, incluso: equipamentos, insumos e pessoal necessário.</v>
      </c>
      <c r="D29" s="111" t="str">
        <f ca="1">IF(OFFSET(PO!O$12,ROW(D29)-ROW(D$12),0)=0,"",OFFSET(PO!O$12,ROW(D29)-ROW(D$12),0))</f>
        <v>un</v>
      </c>
      <c r="E29" s="140">
        <f ca="1">IF($A29&lt;&gt;"Serviço",0,ROUND(SUMIF($F$9:$P$9,"&lt;&gt;",$F29:$P29),15-13*PO!$X$3))</f>
        <v>560</v>
      </c>
      <c r="F29" s="359">
        <f ca="1">OFFSET(PO!$P$12,ROW($E29)-ROW(F$12),0)</f>
        <v>560</v>
      </c>
      <c r="G29" s="359"/>
      <c r="H29" s="359"/>
      <c r="I29" s="359"/>
      <c r="J29" s="359"/>
      <c r="K29" s="359"/>
      <c r="L29" s="359"/>
      <c r="M29" s="359"/>
      <c r="N29" s="359"/>
      <c r="O29" s="359"/>
      <c r="U29" s="182"/>
    </row>
    <row r="30" spans="1:21" s="1" customFormat="1" ht="51" x14ac:dyDescent="0.2">
      <c r="A30" s="110" t="str">
        <f ca="1">OFFSET(PO!J$12,ROW(A30)-ROW($A$12),0)</f>
        <v>Serviço</v>
      </c>
      <c r="B30" s="112" t="str">
        <f ca="1">IF($A30=0,"",OFFSET(PO!K$12,ROW(B30)-ROW(B$12),0))</f>
        <v>1.17.</v>
      </c>
      <c r="C30" s="109" t="str">
        <f ca="1">IF(OFFSET(PO!N$12,ROW(C30)-ROW(C$12),0)=0,"",OFFSET(PO!N$12,ROW(C30)-ROW(C$12),0))</f>
        <v>Fornecimento e instalção de armadura de reposição de arranque de pilar com chumbamento quimico, bitolas variadas, c/ armadura, chumbador quimico, incluso: equipamentos, insumos e pessoal necessário. (média de uso 15 kg por arranque de pilar)</v>
      </c>
      <c r="D30" s="111" t="str">
        <f ca="1">IF(OFFSET(PO!O$12,ROW(D30)-ROW(D$12),0)=0,"",OFFSET(PO!O$12,ROW(D30)-ROW(D$12),0))</f>
        <v>kg</v>
      </c>
      <c r="E30" s="140">
        <f ca="1">IF($A30&lt;&gt;"Serviço",0,ROUND(SUMIF($F$9:$P$9,"&lt;&gt;",$F30:$P30),15-13*PO!$X$3))</f>
        <v>1459</v>
      </c>
      <c r="F30" s="359">
        <f ca="1">OFFSET(PO!$P$12,ROW($E30)-ROW(F$12),0)</f>
        <v>1459</v>
      </c>
      <c r="G30" s="359"/>
      <c r="H30" s="359"/>
      <c r="I30" s="359"/>
      <c r="J30" s="359"/>
      <c r="K30" s="359"/>
      <c r="L30" s="359"/>
      <c r="M30" s="359"/>
      <c r="N30" s="359"/>
      <c r="O30" s="359"/>
      <c r="U30" s="182"/>
    </row>
    <row r="31" spans="1:21" s="1" customFormat="1" ht="51" x14ac:dyDescent="0.2">
      <c r="A31" s="110" t="str">
        <f ca="1">OFFSET(PO!J$12,ROW(A31)-ROW($A$12),0)</f>
        <v>Serviço</v>
      </c>
      <c r="B31" s="112" t="str">
        <f ca="1">IF($A31=0,"",OFFSET(PO!K$12,ROW(B31)-ROW(B$12),0))</f>
        <v>1.18.</v>
      </c>
      <c r="C31" s="109" t="str">
        <f ca="1">IF(OFFSET(PO!N$12,ROW(C31)-ROW(C$12),0)=0,"",OFFSET(PO!N$12,ROW(C31)-ROW(C$12),0))</f>
        <v>Fornecimento e instalação de cobertura de policarbonato alveolar 6mm fume c/ proteção UV, incluso perfis de aluminio, emendas e acabamentos, perfil H PC, parafusos, fitas e silicone de vedação, insumos, equipamentos e pessoal necessário.</v>
      </c>
      <c r="D31" s="111" t="str">
        <f ca="1">IF(OFFSET(PO!O$12,ROW(D31)-ROW(D$12),0)=0,"",OFFSET(PO!O$12,ROW(D31)-ROW(D$12),0))</f>
        <v>m²</v>
      </c>
      <c r="E31" s="140">
        <f ca="1">IF($A31&lt;&gt;"Serviço",0,ROUND(SUMIF($F$9:$P$9,"&lt;&gt;",$F31:$P31),15-13*PO!$X$3))</f>
        <v>591</v>
      </c>
      <c r="F31" s="359">
        <f ca="1">OFFSET(PO!$P$12,ROW($E31)-ROW(F$12),0)</f>
        <v>591</v>
      </c>
      <c r="G31" s="359"/>
      <c r="H31" s="359"/>
      <c r="I31" s="359"/>
      <c r="J31" s="359"/>
      <c r="K31" s="359"/>
      <c r="L31" s="359"/>
      <c r="M31" s="359"/>
      <c r="N31" s="359"/>
      <c r="O31" s="359"/>
      <c r="U31" s="182"/>
    </row>
    <row r="32" spans="1:21" s="1" customFormat="1" x14ac:dyDescent="0.2">
      <c r="A32" s="69"/>
      <c r="B32" s="69"/>
      <c r="C32" s="69"/>
      <c r="D32" s="69"/>
      <c r="E32" s="69"/>
      <c r="F32" s="69"/>
      <c r="G32" s="69"/>
      <c r="H32" s="69"/>
      <c r="I32" s="69"/>
      <c r="J32" s="69"/>
      <c r="K32" s="69"/>
      <c r="L32" s="69"/>
      <c r="M32" s="69"/>
      <c r="N32" s="69"/>
      <c r="O32" s="69"/>
      <c r="U32" s="69"/>
    </row>
    <row r="33" spans="2:21" s="1" customFormat="1" x14ac:dyDescent="0.2">
      <c r="B33" s="4"/>
      <c r="C33" s="10"/>
      <c r="D33" s="4"/>
      <c r="E33" s="12"/>
      <c r="F33" s="12"/>
      <c r="G33" s="12"/>
      <c r="H33" s="12"/>
      <c r="I33" s="12"/>
      <c r="J33" s="12"/>
      <c r="K33" s="12"/>
      <c r="L33" s="12"/>
      <c r="M33" s="12"/>
      <c r="N33" s="12"/>
      <c r="O33" s="12"/>
      <c r="U33" s="12"/>
    </row>
    <row r="34" spans="2:21" s="1" customFormat="1" x14ac:dyDescent="0.2">
      <c r="B34" s="330" t="str">
        <f>PO!$K$43</f>
        <v>BENTO GONÇALVES/RS</v>
      </c>
      <c r="C34" s="330"/>
      <c r="D34" s="4"/>
      <c r="E34" s="12"/>
      <c r="F34" s="12"/>
      <c r="G34" s="12"/>
      <c r="H34" s="12"/>
      <c r="I34" s="12"/>
      <c r="J34" s="12"/>
      <c r="K34" s="12"/>
      <c r="L34" s="12"/>
      <c r="M34" s="12"/>
      <c r="N34" s="12"/>
      <c r="O34" s="12"/>
      <c r="U34" s="12"/>
    </row>
    <row r="35" spans="2:21" s="1" customFormat="1" x14ac:dyDescent="0.2">
      <c r="B35" s="98" t="s">
        <v>120</v>
      </c>
      <c r="C35" s="10"/>
      <c r="D35" s="4"/>
      <c r="E35" s="12"/>
      <c r="F35" s="12"/>
      <c r="G35" s="12"/>
      <c r="H35" s="12"/>
      <c r="I35" s="12"/>
      <c r="J35" s="12"/>
      <c r="K35" s="12"/>
      <c r="L35" s="12"/>
      <c r="M35" s="12"/>
      <c r="N35" s="12"/>
      <c r="O35" s="12"/>
      <c r="U35" s="12"/>
    </row>
    <row r="36" spans="2:21" s="1" customFormat="1" x14ac:dyDescent="0.2">
      <c r="B36" s="10"/>
      <c r="C36" s="10"/>
      <c r="D36" s="4"/>
      <c r="E36" s="12"/>
      <c r="F36" s="12"/>
      <c r="G36" s="12"/>
      <c r="H36" s="12"/>
      <c r="I36" s="12"/>
      <c r="J36" s="12"/>
      <c r="K36" s="12"/>
      <c r="L36" s="12"/>
      <c r="M36" s="12"/>
      <c r="N36" s="12"/>
      <c r="O36" s="12"/>
      <c r="U36" s="12"/>
    </row>
    <row r="37" spans="2:21" s="1" customFormat="1" x14ac:dyDescent="0.2">
      <c r="B37" s="331">
        <f ca="1">PO!$K$46</f>
        <v>45735</v>
      </c>
      <c r="C37" s="331"/>
      <c r="D37" s="4"/>
      <c r="E37" s="12"/>
      <c r="F37" s="12"/>
      <c r="G37" s="12"/>
      <c r="H37" s="12"/>
      <c r="I37" s="12"/>
      <c r="J37" s="12"/>
      <c r="K37" s="12"/>
      <c r="L37" s="12"/>
      <c r="M37" s="12"/>
      <c r="N37" s="12"/>
      <c r="O37" s="12"/>
      <c r="U37" s="12"/>
    </row>
    <row r="38" spans="2:21" s="1" customFormat="1" x14ac:dyDescent="0.2">
      <c r="B38" s="120" t="s">
        <v>121</v>
      </c>
      <c r="C38" s="121"/>
      <c r="D38" s="4"/>
      <c r="E38" s="12"/>
      <c r="F38" s="12"/>
      <c r="G38" s="12"/>
      <c r="H38" s="12"/>
      <c r="I38" s="12"/>
      <c r="J38" s="12"/>
      <c r="K38" s="12"/>
      <c r="L38" s="12"/>
      <c r="M38" s="12"/>
      <c r="N38" s="12"/>
      <c r="O38" s="12"/>
      <c r="U38" s="12"/>
    </row>
  </sheetData>
  <sheetProtection algorithmName="SHA-512" hashValue="oDCVkgL+DUsczNeQ1937v5jvpXIwaPs3HeO25j4oTmje7ZcjfvNMxooxit3KJZMkzegQjUz+ObG600m846iXNg==" saltValue="y/TmwrLKaABy+a/aji4hHg==" spinCount="100000" sheet="1" objects="1" scenarios="1"/>
  <mergeCells count="2">
    <mergeCell ref="B34:C34"/>
    <mergeCell ref="B37:C37"/>
  </mergeCells>
  <phoneticPr fontId="25" type="noConversion"/>
  <conditionalFormatting sqref="D11:E11 D13:E31">
    <cfRule type="expression" dxfId="71" priority="2711" stopIfTrue="1">
      <formula>$A11="Meta"</formula>
    </cfRule>
    <cfRule type="expression" dxfId="70" priority="2712" stopIfTrue="1">
      <formula>$A11&lt;&gt;"Serviço"</formula>
    </cfRule>
  </conditionalFormatting>
  <conditionalFormatting sqref="C11 C13:C31">
    <cfRule type="expression" dxfId="69" priority="2713" stopIfTrue="1">
      <formula>$A11="Meta"</formula>
    </cfRule>
    <cfRule type="expression" dxfId="68" priority="2714" stopIfTrue="1">
      <formula>$A11&lt;&gt;"Serviço"</formula>
    </cfRule>
  </conditionalFormatting>
  <conditionalFormatting sqref="A11:B11 A13:B31">
    <cfRule type="expression" dxfId="67" priority="2715" stopIfTrue="1">
      <formula>$A11="Meta"</formula>
    </cfRule>
    <cfRule type="expression" dxfId="66" priority="2716" stopIfTrue="1">
      <formula>LEFT($A11,5)="Nível"</formula>
    </cfRule>
    <cfRule type="expression" dxfId="65" priority="2717" stopIfTrue="1">
      <formula>$A11=0</formula>
    </cfRule>
  </conditionalFormatting>
  <conditionalFormatting sqref="U11 F13:O19 U13:U31">
    <cfRule type="expression" dxfId="64" priority="2727" stopIfTrue="1">
      <formula>$A11="Meta"</formula>
    </cfRule>
    <cfRule type="expression" dxfId="63" priority="2728" stopIfTrue="1">
      <formula>OR(F$9=0,$A11&lt;&gt;"Serviço")</formula>
    </cfRule>
    <cfRule type="expression" dxfId="62" priority="2729" stopIfTrue="1">
      <formula>TipoOrçamento="Licitado"</formula>
    </cfRule>
  </conditionalFormatting>
  <conditionalFormatting sqref="U9">
    <cfRule type="expression" dxfId="61" priority="2149" stopIfTrue="1">
      <formula>AND(T9=0,U9=0)</formula>
    </cfRule>
    <cfRule type="expression" dxfId="60" priority="2150" stopIfTrue="1">
      <formula>TipoOrçamento="Licitado"</formula>
    </cfRule>
  </conditionalFormatting>
  <conditionalFormatting sqref="F11:O11">
    <cfRule type="expression" dxfId="59" priority="2109" stopIfTrue="1">
      <formula>$A11="Meta"</formula>
    </cfRule>
    <cfRule type="expression" dxfId="58" priority="2110" stopIfTrue="1">
      <formula>OR(F$9=0,$A11&lt;&gt;"Serviço")</formula>
    </cfRule>
    <cfRule type="expression" dxfId="57" priority="2111" stopIfTrue="1">
      <formula>TipoOrçamento="Licitado"</formula>
    </cfRule>
  </conditionalFormatting>
  <conditionalFormatting sqref="F9:O9">
    <cfRule type="expression" dxfId="56" priority="2107" stopIfTrue="1">
      <formula>AND(E9=0,F9=0)</formula>
    </cfRule>
    <cfRule type="expression" dxfId="55" priority="2108" stopIfTrue="1">
      <formula>TipoOrçamento="Licitado"</formula>
    </cfRule>
  </conditionalFormatting>
  <conditionalFormatting sqref="F20:O30">
    <cfRule type="expression" dxfId="54" priority="4" stopIfTrue="1">
      <formula>$A20="Meta"</formula>
    </cfRule>
    <cfRule type="expression" dxfId="53" priority="5" stopIfTrue="1">
      <formula>OR(F$9=0,$A20&lt;&gt;"Serviço")</formula>
    </cfRule>
    <cfRule type="expression" dxfId="52" priority="6" stopIfTrue="1">
      <formula>TipoOrçamento="Licitado"</formula>
    </cfRule>
  </conditionalFormatting>
  <conditionalFormatting sqref="F31:O31">
    <cfRule type="expression" dxfId="51" priority="1" stopIfTrue="1">
      <formula>$A31="Meta"</formula>
    </cfRule>
    <cfRule type="expression" dxfId="50" priority="2" stopIfTrue="1">
      <formula>OR(F$9=0,$A31&lt;&gt;"Serviço")</formula>
    </cfRule>
    <cfRule type="expression" dxfId="49"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31 F14:O31" xr:uid="{00000000-0002-0000-04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37 B34"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tabColor rgb="FFFFFF00"/>
    <outlinePr summaryBelow="0"/>
  </sheetPr>
  <dimension ref="A1:AK31"/>
  <sheetViews>
    <sheetView showGridLines="0" view="pageBreakPreview" topLeftCell="L1" zoomScale="70" zoomScaleSheetLayoutView="70" workbookViewId="0">
      <selection activeCell="U29" sqref="U29"/>
    </sheetView>
  </sheetViews>
  <sheetFormatPr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31" width="15.7109375" style="33" customWidth="1"/>
    <col min="32" max="32" width="0.85546875" style="36" customWidth="1"/>
    <col min="33" max="36" width="9.140625" style="33"/>
    <col min="37" max="37" width="15.7109375" style="33" hidden="1" customWidth="1"/>
    <col min="38" max="16384" width="9.140625" style="33"/>
  </cols>
  <sheetData>
    <row r="1" spans="1:37" s="32" customFormat="1" ht="12.95" customHeight="1" x14ac:dyDescent="0.2">
      <c r="A1"/>
      <c r="B1"/>
      <c r="C1"/>
      <c r="D1"/>
      <c r="E1" s="147"/>
      <c r="F1" s="147"/>
      <c r="G1" s="147"/>
      <c r="H1" s="147"/>
      <c r="I1" s="147"/>
      <c r="J1" s="147"/>
      <c r="K1" s="147"/>
      <c r="L1"/>
      <c r="M1"/>
      <c r="N1"/>
      <c r="O1" s="148" t="s">
        <v>22</v>
      </c>
      <c r="P1" s="84" t="s">
        <v>115</v>
      </c>
      <c r="Q1" s="149"/>
      <c r="R1"/>
      <c r="S1"/>
      <c r="T1"/>
      <c r="U1"/>
      <c r="V1"/>
      <c r="W1"/>
      <c r="X1" s="84" t="s">
        <v>115</v>
      </c>
      <c r="Y1" s="149"/>
      <c r="Z1"/>
      <c r="AA1"/>
      <c r="AB1"/>
      <c r="AC1"/>
      <c r="AD1"/>
      <c r="AE1"/>
      <c r="AF1"/>
      <c r="AK1"/>
    </row>
    <row r="2" spans="1:37"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Y2"/>
      <c r="Z2"/>
      <c r="AA2"/>
      <c r="AB2"/>
      <c r="AC2"/>
      <c r="AD2" s="84"/>
      <c r="AE2"/>
      <c r="AF2"/>
      <c r="AK2"/>
    </row>
    <row r="3" spans="1:37" s="32" customFormat="1" ht="12.75" customHeight="1" x14ac:dyDescent="0.2">
      <c r="A3"/>
      <c r="B3"/>
      <c r="C3"/>
      <c r="D3"/>
      <c r="E3"/>
      <c r="F3"/>
      <c r="G3"/>
      <c r="H3"/>
      <c r="I3"/>
      <c r="J3"/>
      <c r="K3"/>
      <c r="L3"/>
      <c r="M3"/>
      <c r="N3"/>
      <c r="O3"/>
      <c r="P3"/>
      <c r="Q3"/>
      <c r="R3"/>
      <c r="S3" s="1"/>
      <c r="T3"/>
      <c r="U3"/>
      <c r="V3"/>
      <c r="W3"/>
      <c r="X3"/>
      <c r="Y3"/>
      <c r="Z3"/>
      <c r="AA3" s="1"/>
      <c r="AB3"/>
      <c r="AC3"/>
      <c r="AD3"/>
      <c r="AE3"/>
      <c r="AF3"/>
      <c r="AK3"/>
    </row>
    <row r="4" spans="1:37" s="32" customFormat="1" ht="24.95" customHeight="1" x14ac:dyDescent="0.2">
      <c r="A4"/>
      <c r="B4"/>
      <c r="C4"/>
      <c r="D4"/>
      <c r="E4"/>
      <c r="F4"/>
      <c r="G4"/>
      <c r="H4"/>
      <c r="I4"/>
      <c r="J4"/>
      <c r="K4"/>
      <c r="L4"/>
      <c r="M4"/>
      <c r="N4"/>
      <c r="O4"/>
      <c r="P4"/>
      <c r="Q4"/>
      <c r="R4"/>
      <c r="S4"/>
      <c r="T4"/>
      <c r="U4"/>
      <c r="V4"/>
      <c r="W4"/>
      <c r="X4"/>
      <c r="Y4"/>
      <c r="Z4"/>
      <c r="AA4"/>
      <c r="AB4"/>
      <c r="AC4"/>
      <c r="AD4"/>
      <c r="AE4"/>
      <c r="AF4"/>
      <c r="AK4"/>
    </row>
    <row r="5" spans="1:37" s="32" customFormat="1" ht="24.95" customHeight="1" x14ac:dyDescent="0.2">
      <c r="A5"/>
      <c r="B5"/>
      <c r="C5"/>
      <c r="D5"/>
      <c r="E5"/>
      <c r="F5"/>
      <c r="G5"/>
      <c r="H5"/>
      <c r="I5"/>
      <c r="J5"/>
      <c r="K5"/>
      <c r="L5"/>
      <c r="M5"/>
      <c r="N5"/>
      <c r="O5"/>
      <c r="P5"/>
      <c r="Q5"/>
      <c r="R5"/>
      <c r="S5"/>
      <c r="T5"/>
      <c r="U5"/>
      <c r="V5"/>
      <c r="W5"/>
      <c r="X5"/>
      <c r="Y5"/>
      <c r="Z5"/>
      <c r="AA5"/>
      <c r="AB5"/>
      <c r="AC5"/>
      <c r="AD5"/>
      <c r="AE5"/>
      <c r="AF5"/>
      <c r="AK5"/>
    </row>
    <row r="6" spans="1:37" s="32" customFormat="1" ht="24.95" customHeight="1" x14ac:dyDescent="0.2">
      <c r="A6"/>
      <c r="B6"/>
      <c r="C6"/>
      <c r="D6"/>
      <c r="E6"/>
      <c r="F6"/>
      <c r="G6"/>
      <c r="H6"/>
      <c r="I6"/>
      <c r="J6"/>
      <c r="K6"/>
      <c r="L6"/>
      <c r="M6"/>
      <c r="N6"/>
      <c r="O6"/>
      <c r="P6"/>
      <c r="Q6"/>
      <c r="R6"/>
      <c r="S6"/>
      <c r="T6"/>
      <c r="U6"/>
      <c r="V6"/>
      <c r="W6"/>
      <c r="X6"/>
      <c r="Y6"/>
      <c r="Z6"/>
      <c r="AA6"/>
      <c r="AB6"/>
      <c r="AC6"/>
      <c r="AD6"/>
      <c r="AE6"/>
      <c r="AF6"/>
      <c r="AK6"/>
    </row>
    <row r="7" spans="1:37" s="32" customFormat="1" ht="21.75" customHeight="1" x14ac:dyDescent="0.2">
      <c r="A7"/>
      <c r="B7"/>
      <c r="C7"/>
      <c r="D7"/>
      <c r="E7"/>
      <c r="F7"/>
      <c r="G7"/>
      <c r="H7"/>
      <c r="I7"/>
      <c r="J7"/>
      <c r="K7"/>
      <c r="L7"/>
      <c r="M7"/>
      <c r="N7"/>
      <c r="O7"/>
      <c r="P7"/>
      <c r="Q7"/>
      <c r="R7"/>
      <c r="S7"/>
      <c r="T7"/>
      <c r="U7"/>
      <c r="V7"/>
      <c r="W7"/>
      <c r="X7"/>
      <c r="Y7"/>
      <c r="Z7"/>
      <c r="AA7"/>
      <c r="AB7"/>
      <c r="AC7"/>
      <c r="AD7"/>
      <c r="AE7"/>
      <c r="AF7"/>
      <c r="AK7"/>
    </row>
    <row r="8" spans="1:37" s="32" customFormat="1" ht="30" customHeight="1" x14ac:dyDescent="0.2">
      <c r="A8" s="150" t="s">
        <v>176</v>
      </c>
      <c r="B8"/>
      <c r="C8"/>
      <c r="D8"/>
      <c r="E8"/>
      <c r="F8"/>
      <c r="G8"/>
      <c r="H8"/>
      <c r="I8"/>
      <c r="J8"/>
      <c r="K8"/>
      <c r="L8" s="347" t="str">
        <f ca="1">IF(MAX($A$14:$A$22)&lt;&gt;MAX(PO!$V$12:$V$32),"ERRO: CRONOGRAMA DESATUALIZADO",IF(OR(COUNTIF($O$16:$AF$16,"&gt;1")&gt;0,OFFSET($AF$17,0,-1)&lt;&gt;$N$14),"ERRO: CRONOGRAMA NÃO FECHA EM 100%",""))</f>
        <v>ERRO: CRONOGRAMA NÃO FECHA EM 100%</v>
      </c>
      <c r="M8" s="347"/>
      <c r="N8" s="136" t="str">
        <f>IF(TipoOrçamento="REPROGRAMADOAC","Qtde de Medições realizadas","")</f>
        <v/>
      </c>
      <c r="O8" s="151"/>
      <c r="P8"/>
      <c r="Q8"/>
      <c r="R8"/>
      <c r="S8"/>
      <c r="T8"/>
      <c r="U8"/>
      <c r="V8"/>
      <c r="W8"/>
      <c r="X8"/>
      <c r="Y8"/>
      <c r="Z8"/>
      <c r="AA8"/>
      <c r="AB8"/>
      <c r="AC8"/>
      <c r="AD8"/>
      <c r="AE8"/>
      <c r="AF8"/>
      <c r="AK8"/>
    </row>
    <row r="9" spans="1:37" s="32" customFormat="1" ht="14.1" customHeight="1" x14ac:dyDescent="0.2">
      <c r="A9" s="141">
        <v>2</v>
      </c>
      <c r="B9"/>
      <c r="C9"/>
      <c r="D9"/>
      <c r="E9"/>
      <c r="F9"/>
      <c r="G9"/>
      <c r="H9"/>
      <c r="I9"/>
      <c r="J9"/>
      <c r="K9"/>
      <c r="L9" s="1"/>
      <c r="M9" s="1"/>
      <c r="N9" s="135">
        <v>1</v>
      </c>
      <c r="O9" s="26">
        <f>IF(AND(TipoOrçamento="REPROGRAMADOAC",$N$9&gt;0),$N$9-1,0)</f>
        <v>0</v>
      </c>
      <c r="P9" s="126">
        <f t="shared" ref="P9:AE9" ca="1" si="0">OFFSET(P9,0,-1)+1</f>
        <v>1</v>
      </c>
      <c r="Q9" s="126">
        <f t="shared" ca="1" si="0"/>
        <v>2</v>
      </c>
      <c r="R9" s="126">
        <f t="shared" ca="1" si="0"/>
        <v>3</v>
      </c>
      <c r="S9" s="126">
        <f t="shared" ca="1" si="0"/>
        <v>4</v>
      </c>
      <c r="T9" s="126">
        <f t="shared" ca="1" si="0"/>
        <v>5</v>
      </c>
      <c r="U9" s="126">
        <f t="shared" ca="1" si="0"/>
        <v>6</v>
      </c>
      <c r="V9" s="126">
        <f t="shared" ca="1" si="0"/>
        <v>7</v>
      </c>
      <c r="W9" s="126">
        <f t="shared" ca="1" si="0"/>
        <v>8</v>
      </c>
      <c r="X9" s="126">
        <f t="shared" ca="1" si="0"/>
        <v>9</v>
      </c>
      <c r="Y9" s="126">
        <f t="shared" ca="1" si="0"/>
        <v>10</v>
      </c>
      <c r="Z9" s="126">
        <f t="shared" ca="1" si="0"/>
        <v>11</v>
      </c>
      <c r="AA9" s="126">
        <f t="shared" ca="1" si="0"/>
        <v>12</v>
      </c>
      <c r="AB9" s="126">
        <f t="shared" ca="1" si="0"/>
        <v>13</v>
      </c>
      <c r="AC9" s="126">
        <f t="shared" ca="1" si="0"/>
        <v>14</v>
      </c>
      <c r="AD9" s="126">
        <f t="shared" ca="1" si="0"/>
        <v>15</v>
      </c>
      <c r="AE9" s="126">
        <f t="shared" ca="1" si="0"/>
        <v>16</v>
      </c>
      <c r="AF9"/>
      <c r="AK9" s="126">
        <f ca="1">OFFSET(AK9,0,-1)+1</f>
        <v>1</v>
      </c>
    </row>
    <row r="10" spans="1:37"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01/09/23</v>
      </c>
      <c r="P10" s="186" t="str">
        <f ca="1">IF(AND(TipoOrçamento="REPROGRAMADOAC",$N$9&gt;0,N10="Valores Totais (R$)"),"Parcela "&amp;$N$9&amp;" Executado","Parcela "&amp;P$9&amp;CHAR(10)&amp;TEXT(DATE(YEAR(DADOS!$A$48),MONTH(DADOS!$A$48)+P$9-IF(AND(TipoOrçamento="REPROGRAMADOAC",$N$9&gt;0),$N$9,0),1),"mmm/aa"))</f>
        <v>Parcela 1
out/23</v>
      </c>
      <c r="Q10" s="177" t="str">
        <f ca="1">IF(AND(TipoOrçamento="REPROGRAMADOAC",$N$9&gt;0,O10="Valores Totais (R$)"),"Parcela "&amp;$N$9&amp;" Executado","Parcela "&amp;Q$9&amp;CHAR(10)&amp;TEXT(DATE(YEAR(DADOS!$A$48),MONTH(DADOS!$A$48)+Q$9-IF(AND(TipoOrçamento="REPROGRAMADOAC",$N$9&gt;0),$N$9,0),1),"mmm/aa"))</f>
        <v>Parcela 2
nov/23</v>
      </c>
      <c r="R10" s="177" t="str">
        <f ca="1">IF(AND(TipoOrçamento="REPROGRAMADOAC",$N$9&gt;0,P10="Valores Totais (R$)"),"Parcela "&amp;$N$9&amp;" Executado","Parcela "&amp;R$9&amp;CHAR(10)&amp;TEXT(DATE(YEAR(DADOS!$A$48),MONTH(DADOS!$A$48)+R$9-IF(AND(TipoOrçamento="REPROGRAMADOAC",$N$9&gt;0),$N$9,0),1),"mmm/aa"))</f>
        <v>Parcela 3
dez/23</v>
      </c>
      <c r="S10" s="177" t="str">
        <f ca="1">IF(AND(TipoOrçamento="REPROGRAMADOAC",$N$9&gt;0,Q10="Valores Totais (R$)"),"Parcela "&amp;$N$9&amp;" Executado","Parcela "&amp;S$9&amp;CHAR(10)&amp;TEXT(DATE(YEAR(DADOS!$A$48),MONTH(DADOS!$A$48)+S$9-IF(AND(TipoOrçamento="REPROGRAMADOAC",$N$9&gt;0),$N$9,0),1),"mmm/aa"))</f>
        <v>Parcela 4
jan/24</v>
      </c>
      <c r="T10" s="177" t="str">
        <f ca="1">IF(AND(TipoOrçamento="REPROGRAMADOAC",$N$9&gt;0,R10="Valores Totais (R$)"),"Parcela "&amp;$N$9&amp;" Executado","Parcela "&amp;T$9&amp;CHAR(10)&amp;TEXT(DATE(YEAR(DADOS!$A$48),MONTH(DADOS!$A$48)+T$9-IF(AND(TipoOrçamento="REPROGRAMADOAC",$N$9&gt;0),$N$9,0),1),"mmm/aa"))</f>
        <v>Parcela 5
fev/24</v>
      </c>
      <c r="U10" s="177" t="str">
        <f ca="1">IF(AND(TipoOrçamento="REPROGRAMADOAC",$N$9&gt;0,S10="Valores Totais (R$)"),"Parcela "&amp;$N$9&amp;" Executado","Parcela "&amp;U$9&amp;CHAR(10)&amp;TEXT(DATE(YEAR(DADOS!$A$48),MONTH(DADOS!$A$48)+U$9-IF(AND(TipoOrçamento="REPROGRAMADOAC",$N$9&gt;0),$N$9,0),1),"mmm/aa"))</f>
        <v>Parcela 6
mar/24</v>
      </c>
      <c r="V10" s="177" t="str">
        <f ca="1">IF(AND(TipoOrçamento="REPROGRAMADOAC",$N$9&gt;0,T10="Valores Totais (R$)"),"Parcela "&amp;$N$9&amp;" Executado","Parcela "&amp;V$9&amp;CHAR(10)&amp;TEXT(DATE(YEAR(DADOS!$A$48),MONTH(DADOS!$A$48)+V$9-IF(AND(TipoOrçamento="REPROGRAMADOAC",$N$9&gt;0),$N$9,0),1),"mmm/aa"))</f>
        <v>Parcela 7
abr/24</v>
      </c>
      <c r="W10" s="189" t="str">
        <f ca="1">IF(AND(TipoOrçamento="REPROGRAMADOAC",$N$9&gt;0,U10="Valores Totais (R$)"),"Parcela "&amp;$N$9&amp;" Executado","Parcela "&amp;W$9&amp;CHAR(10)&amp;TEXT(DATE(YEAR(DADOS!$A$48),MONTH(DADOS!$A$48)+W$9-IF(AND(TipoOrçamento="REPROGRAMADOAC",$N$9&gt;0),$N$9,0),1),"mmm/aa"))</f>
        <v>Parcela 8
mai/24</v>
      </c>
      <c r="X10" s="186" t="str">
        <f ca="1">IF(AND(TipoOrçamento="REPROGRAMADOAC",$N$9&gt;0,V10="Valores Totais (R$)"),"Parcela "&amp;$N$9&amp;" Executado","Parcela "&amp;X$9&amp;CHAR(10)&amp;TEXT(DATE(YEAR(DADOS!$A$48),MONTH(DADOS!$A$48)+X$9-IF(AND(TipoOrçamento="REPROGRAMADOAC",$N$9&gt;0),$N$9,0),1),"mmm/aa"))</f>
        <v>Parcela 9
jun/24</v>
      </c>
      <c r="Y10" s="177" t="str">
        <f ca="1">IF(AND(TipoOrçamento="REPROGRAMADOAC",$N$9&gt;0,W10="Valores Totais (R$)"),"Parcela "&amp;$N$9&amp;" Executado","Parcela "&amp;Y$9&amp;CHAR(10)&amp;TEXT(DATE(YEAR(DADOS!$A$48),MONTH(DADOS!$A$48)+Y$9-IF(AND(TipoOrçamento="REPROGRAMADOAC",$N$9&gt;0),$N$9,0),1),"mmm/aa"))</f>
        <v>Parcela 10
jul/24</v>
      </c>
      <c r="Z10" s="177" t="str">
        <f ca="1">IF(AND(TipoOrçamento="REPROGRAMADOAC",$N$9&gt;0,X10="Valores Totais (R$)"),"Parcela "&amp;$N$9&amp;" Executado","Parcela "&amp;Z$9&amp;CHAR(10)&amp;TEXT(DATE(YEAR(DADOS!$A$48),MONTH(DADOS!$A$48)+Z$9-IF(AND(TipoOrçamento="REPROGRAMADOAC",$N$9&gt;0),$N$9,0),1),"mmm/aa"))</f>
        <v>Parcela 11
ago/24</v>
      </c>
      <c r="AA10" s="177" t="str">
        <f ca="1">IF(AND(TipoOrçamento="REPROGRAMADOAC",$N$9&gt;0,Y10="Valores Totais (R$)"),"Parcela "&amp;$N$9&amp;" Executado","Parcela "&amp;AA$9&amp;CHAR(10)&amp;TEXT(DATE(YEAR(DADOS!$A$48),MONTH(DADOS!$A$48)+AA$9-IF(AND(TipoOrçamento="REPROGRAMADOAC",$N$9&gt;0),$N$9,0),1),"mmm/aa"))</f>
        <v>Parcela 12
set/24</v>
      </c>
      <c r="AB10" s="177" t="str">
        <f ca="1">IF(AND(TipoOrçamento="REPROGRAMADOAC",$N$9&gt;0,Z10="Valores Totais (R$)"),"Parcela "&amp;$N$9&amp;" Executado","Parcela "&amp;AB$9&amp;CHAR(10)&amp;TEXT(DATE(YEAR(DADOS!$A$48),MONTH(DADOS!$A$48)+AB$9-IF(AND(TipoOrçamento="REPROGRAMADOAC",$N$9&gt;0),$N$9,0),1),"mmm/aa"))</f>
        <v>Parcela 13
out/24</v>
      </c>
      <c r="AC10" s="177" t="str">
        <f ca="1">IF(AND(TipoOrçamento="REPROGRAMADOAC",$N$9&gt;0,AA10="Valores Totais (R$)"),"Parcela "&amp;$N$9&amp;" Executado","Parcela "&amp;AC$9&amp;CHAR(10)&amp;TEXT(DATE(YEAR(DADOS!$A$48),MONTH(DADOS!$A$48)+AC$9-IF(AND(TipoOrçamento="REPROGRAMADOAC",$N$9&gt;0),$N$9,0),1),"mmm/aa"))</f>
        <v>Parcela 14
nov/24</v>
      </c>
      <c r="AD10" s="177" t="str">
        <f ca="1">IF(AND(TipoOrçamento="REPROGRAMADOAC",$N$9&gt;0,AB10="Valores Totais (R$)"),"Parcela "&amp;$N$9&amp;" Executado","Parcela "&amp;AD$9&amp;CHAR(10)&amp;TEXT(DATE(YEAR(DADOS!$A$48),MONTH(DADOS!$A$48)+AD$9-IF(AND(TipoOrçamento="REPROGRAMADOAC",$N$9&gt;0),$N$9,0),1),"mmm/aa"))</f>
        <v>Parcela 15
dez/24</v>
      </c>
      <c r="AE10" s="189" t="str">
        <f ca="1">IF(AND(TipoOrçamento="REPROGRAMADOAC",$N$9&gt;0,AC10="Valores Totais (R$)"),"Parcela "&amp;$N$9&amp;" Executado","Parcela "&amp;AE$9&amp;CHAR(10)&amp;TEXT(DATE(YEAR(DADOS!$A$48),MONTH(DADOS!$A$48)+AE$9-IF(AND(TipoOrçamento="REPROGRAMADOAC",$N$9&gt;0),$N$9,0),1),"mmm/aa"))</f>
        <v>Parcela 16
jan/25</v>
      </c>
      <c r="AF10" s="162"/>
      <c r="AK10" s="177" t="str">
        <f ca="1">IF(AND(TipoOrçamento="REPROGRAMADOAC",$N$9&gt;0,AI10="Valores Totais (R$)"),"Parcela "&amp;$N$9&amp;" Executado","Parcela "&amp;AK$9&amp;CHAR(10)&amp;TEXT(DATE(YEAR(DADOS!$A$48),MONTH(DADOS!$A$48)+AK$9-IF(AND(TipoOrçamento="REPROGRAMADOAC",$N$9&gt;0),$N$9,0),1),"mmm/aa"))</f>
        <v>Parcela 1
out/23</v>
      </c>
    </row>
    <row r="11" spans="1:37" customFormat="1" ht="14.25" hidden="1" customHeight="1" x14ac:dyDescent="0.2">
      <c r="A11" s="1"/>
      <c r="B11" s="1"/>
      <c r="C11" s="1"/>
      <c r="D11" s="1"/>
      <c r="E11" s="1"/>
      <c r="F11" s="1"/>
      <c r="G11" s="1"/>
      <c r="H11" s="1"/>
      <c r="I11" s="1"/>
      <c r="J11" s="1"/>
      <c r="K11" s="1"/>
      <c r="L11" s="333" t="e">
        <f ca="1">INDEX(PO!K$12:K$32,MATCH($A13,PO!$V$12:$V$32,0))</f>
        <v>#VALUE!</v>
      </c>
      <c r="M11" s="335" t="e">
        <f ca="1">INDEX(PO!N$12:N$32,MATCH($A13,PO!$V$12:$V$32,0))</f>
        <v>#VALUE!</v>
      </c>
      <c r="N11" s="348"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92" t="e">
        <f ca="1">IF($B13,0,X12-IF(ISNUMBER(W12),W12,0))</f>
        <v>#VALUE!</v>
      </c>
      <c r="Y11" s="193" t="e">
        <f t="shared" ref="Y11" ca="1" si="2">IF($B13,0,Y12-IF(ISNUMBER(X12),X12,0))</f>
        <v>#VALUE!</v>
      </c>
      <c r="Z11" s="193" t="e">
        <f t="shared" ref="Z11" ca="1" si="3">IF($B13,0,Z12-IF(ISNUMBER(Y12),Y12,0))</f>
        <v>#VALUE!</v>
      </c>
      <c r="AA11" s="193" t="e">
        <f t="shared" ref="AA11" ca="1" si="4">IF($B13,0,AA12-IF(ISNUMBER(Z12),Z12,0))</f>
        <v>#VALUE!</v>
      </c>
      <c r="AB11" s="193" t="e">
        <f t="shared" ref="AB11" ca="1" si="5">IF($B13,0,AB12-IF(ISNUMBER(AA12),AA12,0))</f>
        <v>#VALUE!</v>
      </c>
      <c r="AC11" s="193" t="e">
        <f t="shared" ref="AC11" ca="1" si="6">IF($B13,0,AC12-IF(ISNUMBER(AB12),AB12,0))</f>
        <v>#VALUE!</v>
      </c>
      <c r="AD11" s="193" t="e">
        <f t="shared" ref="AD11" ca="1" si="7">IF($B13,0,AD12-IF(ISNUMBER(AC12),AC12,0))</f>
        <v>#VALUE!</v>
      </c>
      <c r="AE11" s="194" t="e">
        <f t="shared" ref="AE11" ca="1" si="8">IF($B13,0,AE12-IF(ISNUMBER(AD12),AD12,0))</f>
        <v>#VALUE!</v>
      </c>
      <c r="AF11" s="163"/>
      <c r="AK11" s="188" t="e">
        <f ca="1">IF($B13,0,AK12-IF(ISNUMBER(AJ12),AJ12,0))</f>
        <v>#VALUE!</v>
      </c>
    </row>
    <row r="12" spans="1:37" customFormat="1" ht="14.25" hidden="1" x14ac:dyDescent="0.2">
      <c r="A12" s="11"/>
      <c r="B12" s="11"/>
      <c r="C12" s="11"/>
      <c r="D12" s="11"/>
      <c r="E12" s="11"/>
      <c r="F12" s="11"/>
      <c r="G12" s="11"/>
      <c r="H12" s="11"/>
      <c r="I12" s="11"/>
      <c r="J12" s="11"/>
      <c r="K12" s="11"/>
      <c r="L12" s="334"/>
      <c r="M12" s="336"/>
      <c r="N12" s="349"/>
      <c r="O12" s="145" t="s">
        <v>145</v>
      </c>
      <c r="P12" s="165" t="e">
        <f ca="1">MIN(IF($B13,P11+IF(ISNUMBER(O12),O12,0),P13/$N11),1)</f>
        <v>#VALUE!</v>
      </c>
      <c r="Q12" s="143" t="e">
        <f t="shared" ref="Q12:W12" ca="1" si="9">MIN(IF($B13,Q11+IF(ISNUMBER(P12),P12,0),Q13/$N11),1)</f>
        <v>#VALUE!</v>
      </c>
      <c r="R12" s="143" t="e">
        <f t="shared" ca="1" si="9"/>
        <v>#VALUE!</v>
      </c>
      <c r="S12" s="143" t="e">
        <f t="shared" ca="1" si="9"/>
        <v>#VALUE!</v>
      </c>
      <c r="T12" s="143" t="e">
        <f t="shared" ca="1" si="9"/>
        <v>#VALUE!</v>
      </c>
      <c r="U12" s="143" t="e">
        <f t="shared" ca="1" si="9"/>
        <v>#VALUE!</v>
      </c>
      <c r="V12" s="143" t="e">
        <f t="shared" ca="1" si="9"/>
        <v>#VALUE!</v>
      </c>
      <c r="W12" s="143" t="e">
        <f t="shared" ca="1" si="9"/>
        <v>#VALUE!</v>
      </c>
      <c r="X12" s="165" t="e">
        <f ca="1">MIN(IF($B13,X11+IF(ISNUMBER(W12),W12,0),X13/$N11),1)</f>
        <v>#VALUE!</v>
      </c>
      <c r="Y12" s="143" t="e">
        <f t="shared" ref="Y12" ca="1" si="10">MIN(IF($B13,Y11+IF(ISNUMBER(X12),X12,0),Y13/$N11),1)</f>
        <v>#VALUE!</v>
      </c>
      <c r="Z12" s="143" t="e">
        <f t="shared" ref="Z12" ca="1" si="11">MIN(IF($B13,Z11+IF(ISNUMBER(Y12),Y12,0),Z13/$N11),1)</f>
        <v>#VALUE!</v>
      </c>
      <c r="AA12" s="143" t="e">
        <f t="shared" ref="AA12" ca="1" si="12">MIN(IF($B13,AA11+IF(ISNUMBER(Z12),Z12,0),AA13/$N11),1)</f>
        <v>#VALUE!</v>
      </c>
      <c r="AB12" s="143" t="e">
        <f t="shared" ref="AB12" ca="1" si="13">MIN(IF($B13,AB11+IF(ISNUMBER(AA12),AA12,0),AB13/$N11),1)</f>
        <v>#VALUE!</v>
      </c>
      <c r="AC12" s="143" t="e">
        <f t="shared" ref="AC12" ca="1" si="14">MIN(IF($B13,AC11+IF(ISNUMBER(AB12),AB12,0),AC13/$N11),1)</f>
        <v>#VALUE!</v>
      </c>
      <c r="AD12" s="143" t="e">
        <f t="shared" ref="AD12" ca="1" si="15">MIN(IF($B13,AD11+IF(ISNUMBER(AC12),AC12,0),AD13/$N11),1)</f>
        <v>#VALUE!</v>
      </c>
      <c r="AE12" s="143" t="e">
        <f t="shared" ref="AE12" ca="1" si="16">MIN(IF($B13,AE11+IF(ISNUMBER(AD12),AD12,0),AE13/$N11),1)</f>
        <v>#VALUE!</v>
      </c>
      <c r="AF12" s="163"/>
      <c r="AK12" s="143" t="e">
        <f ca="1">MIN(IF($B13,AK11+IF(ISNUMBER(AJ12),AJ12,0),AK13/$N11),1)</f>
        <v>#VALUE!</v>
      </c>
    </row>
    <row r="13" spans="1:37" customFormat="1" ht="14.25" hidden="1" x14ac:dyDescent="0.2">
      <c r="A13" s="11" t="e">
        <f ca="1">OFFSET(A13,-CFF.NumLinha,0)+1</f>
        <v>#VALUE!</v>
      </c>
      <c r="B13" s="11" t="e">
        <f ca="1">$C13&gt;=OFFSET($C13,CFF.NumLinha,0)</f>
        <v>#VALUE!</v>
      </c>
      <c r="C13" s="11" t="e">
        <f ca="1">INDEX(PO!A$12:A$32,MATCH($A13,PO!$V$12:$V$32,0))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MATCH(0,OFFSET($D13,1,$C13,ROW($A$21)-ROW($A13)),0)</f>
        <v>#VALUE!</v>
      </c>
      <c r="J13" s="11" t="e">
        <f ca="1">MATCH(OFFSET($D13,0,$C13)+1,OFFSET($D13,1,$C13,ROW($A$21)-ROW($A13)),0)</f>
        <v>#VALUE!</v>
      </c>
      <c r="K13" s="156" t="e">
        <f ca="1">ROUND(INDEX(PO!T$12:T$32,MATCH($A13,PO!$V$12:$V$32,0)),2)+10^-12</f>
        <v>#VALUE!</v>
      </c>
      <c r="L13" s="334"/>
      <c r="M13" s="336"/>
      <c r="N13" s="349"/>
      <c r="O13" s="171" t="s">
        <v>20</v>
      </c>
      <c r="P13" s="166" t="e">
        <f ca="1">IF($B13,ROUND(P12*$N11,2),ROUND(SUMIF(OFFSET($B13,1,0,$D13),TRUE,OFFSET(P13,1,0,$D13))/SUMIF(OFFSET($B13,1,0,$D13),TRUE,OFFSET($K13,1,0,$D13))*$N11,2))</f>
        <v>#VALUE!</v>
      </c>
      <c r="Q13" s="144" t="e">
        <f t="shared" ref="Q13:W13" ca="1" si="17">IF($B13,ROUND(Q12*$N11,2),ROUND(SUMIF(OFFSET($B13,1,0,$D13),TRUE,OFFSET(Q13,1,0,$D13))/SUMIF(OFFSET($B13,1,0,$D13),TRUE,OFFSET($K13,1,0,$D13))*$N11,2))</f>
        <v>#VALUE!</v>
      </c>
      <c r="R13" s="144" t="e">
        <f t="shared" ca="1" si="17"/>
        <v>#VALUE!</v>
      </c>
      <c r="S13" s="144" t="e">
        <f t="shared" ca="1" si="17"/>
        <v>#VALUE!</v>
      </c>
      <c r="T13" s="144" t="e">
        <f t="shared" ca="1" si="17"/>
        <v>#VALUE!</v>
      </c>
      <c r="U13" s="144" t="e">
        <f t="shared" ca="1" si="17"/>
        <v>#VALUE!</v>
      </c>
      <c r="V13" s="144" t="e">
        <f t="shared" ca="1" si="17"/>
        <v>#VALUE!</v>
      </c>
      <c r="W13" s="174" t="e">
        <f t="shared" ca="1" si="17"/>
        <v>#VALUE!</v>
      </c>
      <c r="X13" s="166" t="e">
        <f ca="1">IF($B13,ROUND(X12*$N11,2),ROUND(SUMIF(OFFSET($B13,1,0,$D13),TRUE,OFFSET(X13,1,0,$D13))/SUMIF(OFFSET($B13,1,0,$D13),TRUE,OFFSET($K13,1,0,$D13))*$N11,2))</f>
        <v>#VALUE!</v>
      </c>
      <c r="Y13" s="144" t="e">
        <f t="shared" ref="Y13:AE13" ca="1" si="18">IF($B13,ROUND(Y12*$N11,2),ROUND(SUMIF(OFFSET($B13,1,0,$D13),TRUE,OFFSET(Y13,1,0,$D13))/SUMIF(OFFSET($B13,1,0,$D13),TRUE,OFFSET($K13,1,0,$D13))*$N11,2))</f>
        <v>#VALUE!</v>
      </c>
      <c r="Z13" s="144" t="e">
        <f t="shared" ca="1" si="18"/>
        <v>#VALUE!</v>
      </c>
      <c r="AA13" s="144" t="e">
        <f t="shared" ca="1" si="18"/>
        <v>#VALUE!</v>
      </c>
      <c r="AB13" s="144" t="e">
        <f t="shared" ca="1" si="18"/>
        <v>#VALUE!</v>
      </c>
      <c r="AC13" s="144" t="e">
        <f t="shared" ca="1" si="18"/>
        <v>#VALUE!</v>
      </c>
      <c r="AD13" s="144" t="e">
        <f t="shared" ca="1" si="18"/>
        <v>#VALUE!</v>
      </c>
      <c r="AE13" s="174" t="e">
        <f t="shared" ca="1" si="18"/>
        <v>#VALUE!</v>
      </c>
      <c r="AF13" s="163"/>
      <c r="AK13" s="144" t="e">
        <f ca="1">IF($B13,ROUND(AK12*$N11,2),ROUND(SUMIF(OFFSET($B13,1,0,$D13),TRUE,OFFSET(AK13,1,0,$D13))/SUMIF(OFFSET($B13,1,0,$D13),TRUE,OFFSET($K13,1,0,$D13))*$N11,2))</f>
        <v>#VALUE!</v>
      </c>
    </row>
    <row r="14" spans="1:37" s="35" customFormat="1" ht="12.75" customHeight="1" x14ac:dyDescent="0.2">
      <c r="A14"/>
      <c r="B14"/>
      <c r="C14"/>
      <c r="D14"/>
      <c r="E14"/>
      <c r="F14"/>
      <c r="G14"/>
      <c r="H14"/>
      <c r="I14"/>
      <c r="J14"/>
      <c r="K14"/>
      <c r="L14" s="337" t="s">
        <v>19</v>
      </c>
      <c r="M14" s="338"/>
      <c r="N14" s="343">
        <f ca="1">IF(PO!$T$12=0,10^-12,PO!$T$12)</f>
        <v>9.9999999999999998E-13</v>
      </c>
      <c r="O14" s="142" t="s">
        <v>143</v>
      </c>
      <c r="P14" s="172">
        <f ca="1">ROUND(P15/$N14,4)</f>
        <v>0</v>
      </c>
      <c r="Q14" s="173">
        <f t="shared" ref="Q14:AE14" ca="1" si="19">ROUND(Q15/$N14,4)</f>
        <v>0</v>
      </c>
      <c r="R14" s="173">
        <f t="shared" ca="1" si="19"/>
        <v>0</v>
      </c>
      <c r="S14" s="173">
        <f t="shared" ca="1" si="19"/>
        <v>0</v>
      </c>
      <c r="T14" s="173">
        <f t="shared" ca="1" si="19"/>
        <v>0</v>
      </c>
      <c r="U14" s="173">
        <f t="shared" ca="1" si="19"/>
        <v>0</v>
      </c>
      <c r="V14" s="173">
        <f t="shared" ca="1" si="19"/>
        <v>0</v>
      </c>
      <c r="W14" s="173">
        <f t="shared" ca="1" si="19"/>
        <v>0</v>
      </c>
      <c r="X14" s="172">
        <f ca="1">ROUND(X15/$N14,4)</f>
        <v>0</v>
      </c>
      <c r="Y14" s="173">
        <f t="shared" ca="1" si="19"/>
        <v>0</v>
      </c>
      <c r="Z14" s="173">
        <f t="shared" ca="1" si="19"/>
        <v>0</v>
      </c>
      <c r="AA14" s="173">
        <f t="shared" ca="1" si="19"/>
        <v>0</v>
      </c>
      <c r="AB14" s="173">
        <f t="shared" ca="1" si="19"/>
        <v>0</v>
      </c>
      <c r="AC14" s="173">
        <f t="shared" ca="1" si="19"/>
        <v>0</v>
      </c>
      <c r="AD14" s="173">
        <f t="shared" ca="1" si="19"/>
        <v>0</v>
      </c>
      <c r="AE14" s="173">
        <f t="shared" ca="1" si="19"/>
        <v>0</v>
      </c>
      <c r="AF14" s="146"/>
      <c r="AK14" s="173">
        <f ca="1">ROUND(AK15/$N14,4)</f>
        <v>0</v>
      </c>
    </row>
    <row r="15" spans="1:37" s="35" customFormat="1" ht="12.75" customHeight="1" x14ac:dyDescent="0.2">
      <c r="A15"/>
      <c r="B15"/>
      <c r="C15"/>
      <c r="D15"/>
      <c r="E15"/>
      <c r="F15"/>
      <c r="G15"/>
      <c r="H15"/>
      <c r="I15"/>
      <c r="J15"/>
      <c r="K15"/>
      <c r="L15" s="339"/>
      <c r="M15" s="340"/>
      <c r="N15" s="344"/>
      <c r="O15" s="132" t="s">
        <v>144</v>
      </c>
      <c r="P15" s="167">
        <f ca="1">P17-IF(ISNUMBER(O17),O17,0)</f>
        <v>0</v>
      </c>
      <c r="Q15" s="127">
        <f t="shared" ref="Q15:W15" ca="1" si="20">Q17-IF(ISNUMBER(P17),P17,0)</f>
        <v>0</v>
      </c>
      <c r="R15" s="127">
        <f t="shared" ca="1" si="20"/>
        <v>0</v>
      </c>
      <c r="S15" s="127">
        <f t="shared" ca="1" si="20"/>
        <v>0</v>
      </c>
      <c r="T15" s="127">
        <f t="shared" ca="1" si="20"/>
        <v>0</v>
      </c>
      <c r="U15" s="127">
        <f t="shared" ca="1" si="20"/>
        <v>0</v>
      </c>
      <c r="V15" s="127">
        <f t="shared" ca="1" si="20"/>
        <v>0</v>
      </c>
      <c r="W15" s="127">
        <f t="shared" ca="1" si="20"/>
        <v>0</v>
      </c>
      <c r="X15" s="167">
        <f ca="1">X17-IF(ISNUMBER(W17),W17,0)</f>
        <v>0</v>
      </c>
      <c r="Y15" s="127">
        <f t="shared" ref="Y15" ca="1" si="21">Y17-IF(ISNUMBER(X17),X17,0)</f>
        <v>0</v>
      </c>
      <c r="Z15" s="127">
        <f t="shared" ref="Z15" ca="1" si="22">Z17-IF(ISNUMBER(Y17),Y17,0)</f>
        <v>0</v>
      </c>
      <c r="AA15" s="127">
        <f t="shared" ref="AA15" ca="1" si="23">AA17-IF(ISNUMBER(Z17),Z17,0)</f>
        <v>0</v>
      </c>
      <c r="AB15" s="127">
        <f t="shared" ref="AB15" ca="1" si="24">AB17-IF(ISNUMBER(AA17),AA17,0)</f>
        <v>0</v>
      </c>
      <c r="AC15" s="127">
        <f t="shared" ref="AC15" ca="1" si="25">AC17-IF(ISNUMBER(AB17),AB17,0)</f>
        <v>0</v>
      </c>
      <c r="AD15" s="127">
        <f t="shared" ref="AD15" ca="1" si="26">AD17-IF(ISNUMBER(AC17),AC17,0)</f>
        <v>0</v>
      </c>
      <c r="AE15" s="127">
        <f t="shared" ref="AE15" ca="1" si="27">AE17-IF(ISNUMBER(AD17),AD17,0)</f>
        <v>0</v>
      </c>
      <c r="AF15" s="146"/>
      <c r="AK15" s="127">
        <f ca="1">AK17-IF(ISNUMBER(AJ17),AJ17,0)</f>
        <v>0</v>
      </c>
    </row>
    <row r="16" spans="1:37" s="35" customFormat="1" ht="12.75" customHeight="1" x14ac:dyDescent="0.2">
      <c r="A16"/>
      <c r="B16"/>
      <c r="C16"/>
      <c r="D16"/>
      <c r="E16"/>
      <c r="F16"/>
      <c r="G16"/>
      <c r="H16"/>
      <c r="I16"/>
      <c r="J16"/>
      <c r="K16"/>
      <c r="L16" s="339"/>
      <c r="M16" s="340"/>
      <c r="N16" s="344"/>
      <c r="O16" s="133" t="s">
        <v>145</v>
      </c>
      <c r="P16" s="168">
        <f ca="1">ROUND(P17/$N14,4)</f>
        <v>0</v>
      </c>
      <c r="Q16" s="128">
        <f t="shared" ref="Q16:W16" ca="1" si="28">ROUND(Q17/$N14,4)</f>
        <v>0</v>
      </c>
      <c r="R16" s="128">
        <f t="shared" ca="1" si="28"/>
        <v>0</v>
      </c>
      <c r="S16" s="128">
        <f t="shared" ca="1" si="28"/>
        <v>0</v>
      </c>
      <c r="T16" s="128">
        <f t="shared" ca="1" si="28"/>
        <v>0</v>
      </c>
      <c r="U16" s="128">
        <f t="shared" ca="1" si="28"/>
        <v>0</v>
      </c>
      <c r="V16" s="128">
        <f t="shared" ca="1" si="28"/>
        <v>0</v>
      </c>
      <c r="W16" s="128">
        <f t="shared" ca="1" si="28"/>
        <v>0</v>
      </c>
      <c r="X16" s="168">
        <f ca="1">ROUND(X17/$N14,4)</f>
        <v>0</v>
      </c>
      <c r="Y16" s="128">
        <f t="shared" ref="Y16:AE16" ca="1" si="29">ROUND(Y17/$N14,4)</f>
        <v>0</v>
      </c>
      <c r="Z16" s="128">
        <f t="shared" ca="1" si="29"/>
        <v>0</v>
      </c>
      <c r="AA16" s="128">
        <f t="shared" ca="1" si="29"/>
        <v>0</v>
      </c>
      <c r="AB16" s="128">
        <f t="shared" ca="1" si="29"/>
        <v>0</v>
      </c>
      <c r="AC16" s="128">
        <f t="shared" ca="1" si="29"/>
        <v>0</v>
      </c>
      <c r="AD16" s="128">
        <f t="shared" ca="1" si="29"/>
        <v>0</v>
      </c>
      <c r="AE16" s="128">
        <f t="shared" ca="1" si="29"/>
        <v>0</v>
      </c>
      <c r="AF16" s="146"/>
      <c r="AK16" s="128">
        <f ca="1">ROUND(AK17/$N14,4)</f>
        <v>0</v>
      </c>
    </row>
    <row r="17" spans="1:37" s="35" customFormat="1" ht="12.75" customHeight="1" x14ac:dyDescent="0.2">
      <c r="A17" s="19">
        <v>0</v>
      </c>
      <c r="B17"/>
      <c r="C17"/>
      <c r="D17" s="19">
        <f>ROW(D$21)-ROW(D18)</f>
        <v>3</v>
      </c>
      <c r="E17"/>
      <c r="F17"/>
      <c r="G17"/>
      <c r="H17"/>
      <c r="I17"/>
      <c r="J17"/>
      <c r="K17"/>
      <c r="L17" s="341"/>
      <c r="M17" s="342"/>
      <c r="N17" s="345"/>
      <c r="O17" s="134" t="s">
        <v>20</v>
      </c>
      <c r="P17" s="169">
        <f ca="1">SUMIF(OFFSET($C17,1,0):$C$21,1,OFFSET(P17,1,0):P$21)</f>
        <v>0</v>
      </c>
      <c r="Q17" s="129">
        <f ca="1">SUMIF(OFFSET($C17,1,0):$C$21,1,OFFSET(Q17,1,0):Q$21)</f>
        <v>0</v>
      </c>
      <c r="R17" s="129">
        <f ca="1">SUMIF(OFFSET($C17,1,0):$C$21,1,OFFSET(R17,1,0):R$21)</f>
        <v>0</v>
      </c>
      <c r="S17" s="129">
        <f ca="1">SUMIF(OFFSET($C17,1,0):$C$21,1,OFFSET(S17,1,0):S$21)</f>
        <v>0</v>
      </c>
      <c r="T17" s="129">
        <f ca="1">SUMIF(OFFSET($C17,1,0):$C$21,1,OFFSET(T17,1,0):T$21)</f>
        <v>0</v>
      </c>
      <c r="U17" s="129">
        <f ca="1">SUMIF(OFFSET($C17,1,0):$C$21,1,OFFSET(U17,1,0):U$21)</f>
        <v>0</v>
      </c>
      <c r="V17" s="129">
        <f ca="1">SUMIF(OFFSET($C17,1,0):$C$21,1,OFFSET(V17,1,0):V$21)</f>
        <v>0</v>
      </c>
      <c r="W17" s="129">
        <f ca="1">SUMIF(OFFSET($C17,1,0):$C$21,1,OFFSET(W17,1,0):W$21)</f>
        <v>0</v>
      </c>
      <c r="X17" s="169">
        <f ca="1">SUMIF(OFFSET($C17,1,0):$C$21,1,OFFSET(X17,1,0):X$21)</f>
        <v>0</v>
      </c>
      <c r="Y17" s="129">
        <f ca="1">SUMIF(OFFSET($C17,1,0):$C$21,1,OFFSET(Y17,1,0):Y$21)</f>
        <v>0</v>
      </c>
      <c r="Z17" s="129">
        <f ca="1">SUMIF(OFFSET($C17,1,0):$C$21,1,OFFSET(Z17,1,0):Z$21)</f>
        <v>0</v>
      </c>
      <c r="AA17" s="129">
        <f ca="1">SUMIF(OFFSET($C17,1,0):$C$21,1,OFFSET(AA17,1,0):AA$21)</f>
        <v>0</v>
      </c>
      <c r="AB17" s="129">
        <f ca="1">SUMIF(OFFSET($C17,1,0):$C$21,1,OFFSET(AB17,1,0):AB$21)</f>
        <v>0</v>
      </c>
      <c r="AC17" s="129">
        <f ca="1">SUMIF(OFFSET($C17,1,0):$C$21,1,OFFSET(AC17,1,0):AC$21)</f>
        <v>0</v>
      </c>
      <c r="AD17" s="129">
        <f ca="1">SUMIF(OFFSET($C17,1,0):$C$21,1,OFFSET(AD17,1,0):AD$21)</f>
        <v>0</v>
      </c>
      <c r="AE17" s="129">
        <f ca="1">SUMIF(OFFSET($C17,1,0):$C$21,1,OFFSET(AE17,1,0):AE$21)</f>
        <v>0</v>
      </c>
      <c r="AF17" s="146"/>
      <c r="AK17" s="129">
        <f ca="1">SUMIF(OFFSET($C17,1,0):$C$21,1,OFFSET(AK17,1,0):AK$21)</f>
        <v>0</v>
      </c>
    </row>
    <row r="18" spans="1:37" customFormat="1" ht="14.25" customHeight="1" x14ac:dyDescent="0.2">
      <c r="L18" s="333" t="str">
        <f ca="1">INDEX(PO!K$12:K$32,MATCH($A20,PO!$V$12:$V$32,0))</f>
        <v>1.</v>
      </c>
      <c r="M18" s="335" t="str">
        <f ca="1">INDEX(PO!N$12:N$32,MATCH($A20,PO!$V$12:$V$32,0))</f>
        <v>Lote 01  - Manutenção e Reparos Abrigos Passagerios Onibus e Táxi</v>
      </c>
      <c r="N18" s="348">
        <f ca="1">IF(ROUND(K20,2)=0,K20,ROUND(K20,2))</f>
        <v>9.9999999999999998E-13</v>
      </c>
      <c r="O18" s="170" t="s">
        <v>143</v>
      </c>
      <c r="P18" s="192">
        <v>0.08</v>
      </c>
      <c r="Q18" s="193">
        <v>0.08</v>
      </c>
      <c r="R18" s="193">
        <v>0.08</v>
      </c>
      <c r="S18" s="193">
        <v>0.08</v>
      </c>
      <c r="T18" s="193">
        <v>0.08</v>
      </c>
      <c r="U18" s="193">
        <v>0.08</v>
      </c>
      <c r="V18" s="193">
        <v>0.08</v>
      </c>
      <c r="W18" s="194">
        <v>0.08</v>
      </c>
      <c r="X18" s="192">
        <v>0.08</v>
      </c>
      <c r="Y18" s="193">
        <v>0.08</v>
      </c>
      <c r="Z18" s="193">
        <v>0.1</v>
      </c>
      <c r="AA18" s="193">
        <v>0.1</v>
      </c>
      <c r="AB18" s="193">
        <f t="shared" ref="AB18:AE18" ca="1" si="30">IF($B20,0,AB19-IF(ISNUMBER(AA19),AA19,0))</f>
        <v>0</v>
      </c>
      <c r="AC18" s="193">
        <f t="shared" ca="1" si="30"/>
        <v>0</v>
      </c>
      <c r="AD18" s="193">
        <f t="shared" ca="1" si="30"/>
        <v>0</v>
      </c>
      <c r="AE18" s="194">
        <f t="shared" ca="1" si="30"/>
        <v>0</v>
      </c>
      <c r="AF18" s="164" t="s">
        <v>106</v>
      </c>
      <c r="AK18" s="188">
        <f ca="1">IF($B20,0,AK19-IF(ISNUMBER(AJ19),AJ19,0))</f>
        <v>0</v>
      </c>
    </row>
    <row r="19" spans="1:37" customFormat="1" ht="14.25" x14ac:dyDescent="0.2">
      <c r="L19" s="334"/>
      <c r="M19" s="336"/>
      <c r="N19" s="349"/>
      <c r="O19" s="145" t="s">
        <v>145</v>
      </c>
      <c r="P19" s="165">
        <f t="shared" ref="P19:AE19" ca="1" si="31">MIN(IF($B20,P18+IF(ISNUMBER(O19),O19,0),P20/$N18),1)</f>
        <v>0.08</v>
      </c>
      <c r="Q19" s="143">
        <f t="shared" ca="1" si="31"/>
        <v>0.16</v>
      </c>
      <c r="R19" s="143">
        <f t="shared" ca="1" si="31"/>
        <v>0.24</v>
      </c>
      <c r="S19" s="143">
        <f t="shared" ca="1" si="31"/>
        <v>0.32</v>
      </c>
      <c r="T19" s="143">
        <f t="shared" ca="1" si="31"/>
        <v>0.4</v>
      </c>
      <c r="U19" s="143">
        <f t="shared" ca="1" si="31"/>
        <v>0.48000000000000004</v>
      </c>
      <c r="V19" s="143">
        <f t="shared" ca="1" si="31"/>
        <v>0.56000000000000005</v>
      </c>
      <c r="W19" s="143">
        <f t="shared" ca="1" si="31"/>
        <v>0.64</v>
      </c>
      <c r="X19" s="165">
        <f t="shared" ca="1" si="31"/>
        <v>0.72</v>
      </c>
      <c r="Y19" s="143">
        <f t="shared" ca="1" si="31"/>
        <v>0.79999999999999993</v>
      </c>
      <c r="Z19" s="143">
        <f t="shared" ca="1" si="31"/>
        <v>0.89999999999999991</v>
      </c>
      <c r="AA19" s="143">
        <f t="shared" ca="1" si="31"/>
        <v>0.99999999999999989</v>
      </c>
      <c r="AB19" s="143">
        <f t="shared" ca="1" si="31"/>
        <v>0.99999999999999989</v>
      </c>
      <c r="AC19" s="143">
        <f t="shared" ca="1" si="31"/>
        <v>0.99999999999999989</v>
      </c>
      <c r="AD19" s="143">
        <f t="shared" ca="1" si="31"/>
        <v>0.99999999999999989</v>
      </c>
      <c r="AE19" s="143">
        <f t="shared" ca="1" si="31"/>
        <v>0.99999999999999989</v>
      </c>
      <c r="AF19" s="163"/>
      <c r="AK19" s="143">
        <f ca="1">MIN(IF($B20,AK18+IF(ISNUMBER(AJ19),AJ19,0),AK20/$N18),1)</f>
        <v>0</v>
      </c>
    </row>
    <row r="20" spans="1:37" customFormat="1" ht="14.25" x14ac:dyDescent="0.2">
      <c r="A20" s="19">
        <f ca="1">OFFSET(A20,-CFF.NumLinha,0)+1</f>
        <v>1</v>
      </c>
      <c r="B20" t="b">
        <f ca="1">$C20&gt;=OFFSET($C20,CFF.NumLinha,0)</f>
        <v>1</v>
      </c>
      <c r="C20" s="11">
        <f ca="1">INDEX(PO!A$12:A$32,MATCH($A20,PO!$V$12:$V$32,0))</f>
        <v>1</v>
      </c>
      <c r="D20" s="11">
        <f ca="1">IF(ISERROR(J20),I20,SMALL(I20:J20,1))-1</f>
        <v>0</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MATCH(0,OFFSET($D20,1,$C20,ROW($A$21)-ROW($A20)),0)</f>
        <v>1</v>
      </c>
      <c r="J20" s="11" t="e">
        <f ca="1">MATCH(OFFSET($D20,0,$C20)+1,OFFSET($D20,1,$C20,ROW($A$21)-ROW($A20)),0)</f>
        <v>#N/A</v>
      </c>
      <c r="K20" s="156">
        <f ca="1">ROUND(INDEX(PO!T$12:T$32,MATCH($A20,PO!$V$12:$V$32,0)),2)+10^-12</f>
        <v>9.9999999999999998E-13</v>
      </c>
      <c r="L20" s="334"/>
      <c r="M20" s="336"/>
      <c r="N20" s="349"/>
      <c r="O20" s="171" t="s">
        <v>20</v>
      </c>
      <c r="P20" s="166">
        <f t="shared" ref="P20:AE20" ca="1" si="32">IF($B20,ROUND(P19*$N18,2),ROUND(SUMIF(OFFSET($B20,1,0,$D20),TRUE,OFFSET(P20,1,0,$D20))/SUMIF(OFFSET($B20,1,0,$D20),TRUE,OFFSET($K20,1,0,$D20))*$N18,2))</f>
        <v>0</v>
      </c>
      <c r="Q20" s="144">
        <f t="shared" ca="1" si="32"/>
        <v>0</v>
      </c>
      <c r="R20" s="144">
        <f t="shared" ca="1" si="32"/>
        <v>0</v>
      </c>
      <c r="S20" s="144">
        <f t="shared" ca="1" si="32"/>
        <v>0</v>
      </c>
      <c r="T20" s="144">
        <f t="shared" ca="1" si="32"/>
        <v>0</v>
      </c>
      <c r="U20" s="144">
        <f t="shared" ca="1" si="32"/>
        <v>0</v>
      </c>
      <c r="V20" s="144">
        <f t="shared" ca="1" si="32"/>
        <v>0</v>
      </c>
      <c r="W20" s="174">
        <f t="shared" ca="1" si="32"/>
        <v>0</v>
      </c>
      <c r="X20" s="166">
        <f t="shared" ca="1" si="32"/>
        <v>0</v>
      </c>
      <c r="Y20" s="144">
        <f t="shared" ca="1" si="32"/>
        <v>0</v>
      </c>
      <c r="Z20" s="144">
        <f t="shared" ca="1" si="32"/>
        <v>0</v>
      </c>
      <c r="AA20" s="144">
        <f t="shared" ca="1" si="32"/>
        <v>0</v>
      </c>
      <c r="AB20" s="144">
        <f t="shared" ca="1" si="32"/>
        <v>0</v>
      </c>
      <c r="AC20" s="144">
        <f t="shared" ca="1" si="32"/>
        <v>0</v>
      </c>
      <c r="AD20" s="144">
        <f t="shared" ca="1" si="32"/>
        <v>0</v>
      </c>
      <c r="AE20" s="174">
        <f t="shared" ca="1" si="32"/>
        <v>0</v>
      </c>
      <c r="AF20" s="163"/>
      <c r="AK20" s="144">
        <f ca="1">IF($B20,ROUND(AK19*$N18,2),ROUND(SUMIF(OFFSET($B20,1,0,$D20),TRUE,OFFSET(AK20,1,0,$D20))/SUMIF(OFFSET($B20,1,0,$D20),TRUE,OFFSET($K20,1,0,$D20))*$N18,2))</f>
        <v>0</v>
      </c>
    </row>
    <row r="21" spans="1:37" ht="12.75" customHeight="1" x14ac:dyDescent="0.2">
      <c r="A21"/>
      <c r="B21"/>
      <c r="C21" s="11">
        <v>-1</v>
      </c>
      <c r="D21" s="11"/>
      <c r="E21" s="11">
        <v>0</v>
      </c>
      <c r="F21" s="11">
        <v>0</v>
      </c>
      <c r="G21" s="11">
        <v>0</v>
      </c>
      <c r="H21" s="11">
        <v>0</v>
      </c>
      <c r="I21"/>
      <c r="J21"/>
      <c r="K21"/>
      <c r="L21" s="69"/>
      <c r="M21" s="69"/>
      <c r="N21" s="131"/>
      <c r="O21" s="69"/>
      <c r="P21" s="69"/>
      <c r="Q21" s="131"/>
      <c r="R21" s="69"/>
      <c r="S21" s="69"/>
      <c r="T21" s="69"/>
      <c r="U21" s="69"/>
      <c r="V21" s="69"/>
      <c r="W21" s="69"/>
      <c r="X21" s="69"/>
      <c r="Y21" s="131"/>
      <c r="Z21" s="69"/>
      <c r="AA21" s="69"/>
      <c r="AB21" s="69"/>
      <c r="AC21" s="69"/>
      <c r="AD21" s="69"/>
      <c r="AE21" s="69"/>
      <c r="AF21" s="157"/>
      <c r="AK21" s="69"/>
    </row>
    <row r="22" spans="1:37" ht="12" customHeight="1" x14ac:dyDescent="0.2">
      <c r="A22"/>
      <c r="B22"/>
      <c r="C22"/>
      <c r="D22"/>
      <c r="E22"/>
      <c r="F22"/>
      <c r="G22"/>
      <c r="H22"/>
      <c r="I22"/>
      <c r="J22"/>
      <c r="K22"/>
      <c r="L22" s="1"/>
      <c r="M22" s="1"/>
      <c r="N22" s="1"/>
      <c r="O22" s="1"/>
      <c r="P22" s="1"/>
      <c r="Q22" s="1"/>
      <c r="R22" s="1"/>
      <c r="S22" s="1"/>
      <c r="T22" s="1"/>
      <c r="U22" s="1"/>
      <c r="V22" s="1"/>
      <c r="W22" s="1"/>
      <c r="X22" s="1"/>
      <c r="Y22" s="1"/>
      <c r="Z22" s="1"/>
      <c r="AA22" s="1"/>
      <c r="AB22" s="1"/>
      <c r="AC22" s="1"/>
      <c r="AD22" s="1"/>
      <c r="AE22" s="1"/>
      <c r="AF22" s="157"/>
      <c r="AK22" s="1"/>
    </row>
    <row r="23" spans="1:37" x14ac:dyDescent="0.2">
      <c r="A23"/>
      <c r="B23"/>
      <c r="C23"/>
      <c r="D23"/>
      <c r="E23"/>
      <c r="F23"/>
      <c r="G23"/>
      <c r="H23"/>
      <c r="I23"/>
      <c r="J23"/>
      <c r="K23"/>
      <c r="L23" s="352">
        <f>DADOS!I32</f>
        <v>0</v>
      </c>
      <c r="M23" s="352"/>
      <c r="N23" s="352"/>
      <c r="O23" s="1"/>
      <c r="P23" s="158"/>
      <c r="Q23" s="346"/>
      <c r="R23" s="346"/>
      <c r="S23" s="346"/>
      <c r="T23" s="1"/>
      <c r="U23" s="1"/>
      <c r="V23" s="1"/>
      <c r="W23" s="1"/>
      <c r="X23" s="158"/>
      <c r="Y23" s="346"/>
      <c r="Z23" s="346"/>
      <c r="AA23" s="346"/>
      <c r="AB23" s="1"/>
      <c r="AC23" s="1"/>
      <c r="AD23" s="1"/>
      <c r="AE23" s="1"/>
      <c r="AF23" s="157"/>
      <c r="AK23" s="1"/>
    </row>
    <row r="24" spans="1:37" x14ac:dyDescent="0.2">
      <c r="A24"/>
      <c r="B24"/>
      <c r="C24"/>
      <c r="D24"/>
      <c r="E24"/>
      <c r="F24"/>
      <c r="G24"/>
      <c r="H24"/>
      <c r="I24"/>
      <c r="J24"/>
      <c r="K24"/>
      <c r="L24" s="159" t="s">
        <v>120</v>
      </c>
      <c r="M24" s="351"/>
      <c r="N24" s="351"/>
      <c r="O24" s="1"/>
      <c r="P24" s="158"/>
      <c r="Q24" s="346"/>
      <c r="R24" s="346"/>
      <c r="S24" s="346"/>
      <c r="T24" s="1"/>
      <c r="U24" s="1"/>
      <c r="V24" s="1"/>
      <c r="W24" s="1"/>
      <c r="X24" s="158"/>
      <c r="Y24" s="346"/>
      <c r="Z24" s="346"/>
      <c r="AA24" s="346"/>
      <c r="AB24" s="1"/>
      <c r="AC24" s="1"/>
      <c r="AD24" s="1"/>
      <c r="AE24" s="1"/>
      <c r="AF24" s="157"/>
      <c r="AK24" s="1"/>
    </row>
    <row r="25" spans="1:37" x14ac:dyDescent="0.2">
      <c r="A25"/>
      <c r="B25"/>
      <c r="C25"/>
      <c r="D25"/>
      <c r="E25"/>
      <c r="F25"/>
      <c r="G25"/>
      <c r="H25"/>
      <c r="I25"/>
      <c r="J25"/>
      <c r="K25"/>
      <c r="L25" s="158"/>
      <c r="M25" s="350"/>
      <c r="N25" s="351"/>
      <c r="O25" s="1"/>
      <c r="P25" s="158"/>
      <c r="Q25" s="346"/>
      <c r="R25" s="346"/>
      <c r="S25" s="346"/>
      <c r="T25" s="1"/>
      <c r="U25" s="1"/>
      <c r="V25" s="1"/>
      <c r="W25" s="1"/>
      <c r="X25" s="158"/>
      <c r="Y25" s="346"/>
      <c r="Z25" s="346"/>
      <c r="AA25" s="346"/>
      <c r="AB25" s="1"/>
      <c r="AC25" s="1"/>
      <c r="AD25" s="1"/>
      <c r="AE25" s="1"/>
      <c r="AF25" s="157"/>
      <c r="AK25" s="1"/>
    </row>
    <row r="26" spans="1:37" x14ac:dyDescent="0.2">
      <c r="A26"/>
      <c r="B26"/>
      <c r="C26"/>
      <c r="D26"/>
      <c r="E26"/>
      <c r="F26"/>
      <c r="G26"/>
      <c r="H26"/>
      <c r="I26"/>
      <c r="J26"/>
      <c r="K26"/>
      <c r="L26" s="332">
        <f ca="1">PO!K46</f>
        <v>45735</v>
      </c>
      <c r="M26" s="332"/>
      <c r="N26" s="332"/>
      <c r="O26" s="1"/>
      <c r="P26" s="1"/>
      <c r="Q26" s="1"/>
      <c r="R26" s="1"/>
      <c r="S26" s="1"/>
      <c r="T26" s="1"/>
      <c r="U26" s="1"/>
      <c r="V26" s="1"/>
      <c r="W26" s="1"/>
      <c r="X26" s="1"/>
      <c r="Y26" s="1"/>
      <c r="Z26" s="1"/>
      <c r="AA26" s="1"/>
      <c r="AB26" s="1"/>
      <c r="AC26" s="1"/>
      <c r="AD26" s="1"/>
      <c r="AE26" s="1"/>
      <c r="AF26" s="160"/>
      <c r="AK26" s="1"/>
    </row>
    <row r="27" spans="1:37" x14ac:dyDescent="0.2">
      <c r="A27"/>
      <c r="B27"/>
      <c r="C27"/>
      <c r="D27"/>
      <c r="E27"/>
      <c r="F27"/>
      <c r="G27"/>
      <c r="H27"/>
      <c r="I27"/>
      <c r="J27"/>
      <c r="K27"/>
      <c r="L27" s="161" t="s">
        <v>121</v>
      </c>
      <c r="M27" s="69"/>
      <c r="N27" s="69"/>
      <c r="O27" s="1"/>
      <c r="P27" s="1"/>
      <c r="Q27" s="1"/>
      <c r="R27" s="1"/>
      <c r="S27" s="1"/>
      <c r="T27" s="1"/>
      <c r="U27" s="1"/>
      <c r="V27" s="1"/>
      <c r="W27" s="1"/>
      <c r="X27" s="1"/>
      <c r="Y27" s="1"/>
      <c r="Z27" s="1"/>
      <c r="AA27" s="1"/>
      <c r="AB27" s="1"/>
      <c r="AC27" s="1"/>
      <c r="AD27" s="1"/>
      <c r="AE27" s="1"/>
      <c r="AF27" s="160"/>
      <c r="AK27" s="1"/>
    </row>
    <row r="28" spans="1:37" x14ac:dyDescent="0.2">
      <c r="A28"/>
      <c r="B28"/>
      <c r="C28"/>
      <c r="D28"/>
      <c r="E28"/>
      <c r="F28"/>
      <c r="G28"/>
      <c r="H28"/>
      <c r="I28"/>
      <c r="J28"/>
      <c r="K28"/>
      <c r="L28" s="1"/>
      <c r="M28" s="1"/>
      <c r="N28" s="1"/>
      <c r="O28" s="1"/>
      <c r="P28" s="1"/>
      <c r="Q28" s="1"/>
      <c r="R28" s="1"/>
      <c r="S28" s="1"/>
      <c r="T28" s="1"/>
      <c r="U28" s="1"/>
      <c r="V28" s="1"/>
      <c r="W28" s="1"/>
      <c r="X28" s="1"/>
      <c r="Y28" s="1"/>
      <c r="Z28" s="1"/>
      <c r="AA28" s="1"/>
      <c r="AB28" s="1"/>
      <c r="AC28" s="1"/>
      <c r="AD28" s="1"/>
      <c r="AE28" s="1"/>
      <c r="AF28" s="160"/>
      <c r="AK28" s="1"/>
    </row>
    <row r="29" spans="1:37" x14ac:dyDescent="0.2">
      <c r="A29"/>
      <c r="B29"/>
      <c r="C29"/>
      <c r="D29"/>
      <c r="E29"/>
      <c r="F29"/>
      <c r="G29"/>
      <c r="H29"/>
      <c r="I29"/>
      <c r="J29"/>
      <c r="K29"/>
      <c r="L29" s="1"/>
      <c r="M29" s="1"/>
      <c r="N29" s="4"/>
      <c r="O29" s="1"/>
      <c r="P29" s="1"/>
      <c r="Q29" s="1"/>
      <c r="R29" s="1"/>
      <c r="S29" s="1"/>
      <c r="T29" s="1"/>
      <c r="U29" s="1"/>
      <c r="V29" s="1"/>
      <c r="W29" s="1"/>
      <c r="X29" s="1"/>
      <c r="Y29" s="1"/>
      <c r="Z29" s="1"/>
      <c r="AA29" s="1"/>
      <c r="AB29" s="1"/>
      <c r="AC29" s="1"/>
      <c r="AD29" s="1"/>
      <c r="AE29" s="1"/>
      <c r="AF29" s="157"/>
      <c r="AK29" s="1"/>
    </row>
    <row r="30" spans="1:37" x14ac:dyDescent="0.2">
      <c r="A30"/>
      <c r="B30"/>
      <c r="C30"/>
      <c r="D30"/>
      <c r="E30"/>
      <c r="F30"/>
      <c r="G30"/>
      <c r="H30"/>
      <c r="I30"/>
      <c r="J30"/>
      <c r="K30"/>
      <c r="L30" s="1"/>
      <c r="M30" s="1"/>
      <c r="N30" s="4"/>
      <c r="O30" s="1"/>
      <c r="P30" s="1"/>
      <c r="Q30" s="1"/>
      <c r="R30" s="1"/>
      <c r="S30" s="1"/>
      <c r="T30" s="1"/>
      <c r="U30" s="1"/>
      <c r="V30" s="1"/>
      <c r="W30" s="1"/>
      <c r="X30" s="1"/>
      <c r="Y30" s="1"/>
      <c r="Z30" s="1"/>
      <c r="AA30" s="1"/>
      <c r="AB30" s="1"/>
      <c r="AC30" s="1"/>
      <c r="AD30" s="1"/>
      <c r="AE30" s="1"/>
      <c r="AF30" s="157"/>
      <c r="AK30" s="1"/>
    </row>
    <row r="31" spans="1:37" x14ac:dyDescent="0.2">
      <c r="A31"/>
      <c r="B31"/>
      <c r="C31"/>
      <c r="D31"/>
      <c r="E31"/>
      <c r="F31"/>
      <c r="G31"/>
      <c r="H31"/>
      <c r="I31"/>
      <c r="J31"/>
      <c r="K31"/>
      <c r="L31" s="1"/>
      <c r="M31" s="1"/>
      <c r="N31" s="4"/>
      <c r="O31" s="1"/>
      <c r="P31" s="1"/>
      <c r="Q31" s="1"/>
      <c r="R31" s="1"/>
      <c r="S31" s="1"/>
      <c r="T31" s="1"/>
      <c r="U31" s="1"/>
      <c r="V31" s="1"/>
      <c r="W31" s="1"/>
      <c r="X31" s="1"/>
      <c r="Y31" s="1"/>
      <c r="Z31" s="1"/>
      <c r="AA31" s="1"/>
      <c r="AB31" s="1"/>
      <c r="AC31" s="1"/>
      <c r="AD31" s="1"/>
      <c r="AE31" s="1"/>
      <c r="AF31" s="157"/>
      <c r="AK31" s="1"/>
    </row>
  </sheetData>
  <sheetProtection algorithmName="SHA-512" hashValue="XC0Y7SPn2prqNQ7GGgWnkZ185tZ29PKzfYjMdKbzjrYwb9VM6pzAo4q5SOwLDw0LAmKsITp6QC486JEM/s2xnQ==" saltValue="jg3ZtqukT8T0ghHQraSV9g==" spinCount="100000" sheet="1" objects="1" scenarios="1"/>
  <mergeCells count="19">
    <mergeCell ref="Y23:AA23"/>
    <mergeCell ref="Y24:AA24"/>
    <mergeCell ref="Y25:AA25"/>
    <mergeCell ref="L8:M8"/>
    <mergeCell ref="N11:N13"/>
    <mergeCell ref="M18:M20"/>
    <mergeCell ref="N18:N20"/>
    <mergeCell ref="Q25:S25"/>
    <mergeCell ref="M25:N25"/>
    <mergeCell ref="Q24:S24"/>
    <mergeCell ref="Q23:S23"/>
    <mergeCell ref="L23:N23"/>
    <mergeCell ref="M24:N24"/>
    <mergeCell ref="L26:N26"/>
    <mergeCell ref="L11:L13"/>
    <mergeCell ref="M11:M13"/>
    <mergeCell ref="L14:M17"/>
    <mergeCell ref="N14:N17"/>
    <mergeCell ref="L18:L20"/>
  </mergeCells>
  <phoneticPr fontId="20" type="noConversion"/>
  <conditionalFormatting sqref="L11:N11 L12:M13 L18:N18">
    <cfRule type="expression" dxfId="48" priority="1176" stopIfTrue="1">
      <formula>$C13=1</formula>
    </cfRule>
  </conditionalFormatting>
  <conditionalFormatting sqref="O11 O18">
    <cfRule type="expression" dxfId="47" priority="1248" stopIfTrue="1">
      <formula>$B13=FALSE</formula>
    </cfRule>
    <cfRule type="expression" dxfId="46" priority="1249" stopIfTrue="1">
      <formula>$C13=1</formula>
    </cfRule>
  </conditionalFormatting>
  <conditionalFormatting sqref="P12:W12 AK12 AK19">
    <cfRule type="expression" dxfId="45" priority="1238" stopIfTrue="1">
      <formula>AND(ISNUMBER(O13),O13&gt;=$N11)</formula>
    </cfRule>
    <cfRule type="cellIs" dxfId="44" priority="1239" stopIfTrue="1" operator="notBetween">
      <formula>0</formula>
      <formula>1</formula>
    </cfRule>
  </conditionalFormatting>
  <conditionalFormatting sqref="P13:W13 AK13 AK20">
    <cfRule type="expression" dxfId="43" priority="1240" stopIfTrue="1">
      <formula>AND(ISNUMBER(O13),O13&gt;=$N11)</formula>
    </cfRule>
    <cfRule type="cellIs" dxfId="42" priority="1241" stopIfTrue="1" operator="notBetween">
      <formula>0</formula>
      <formula>$N11</formula>
    </cfRule>
  </conditionalFormatting>
  <conditionalFormatting sqref="P14:W14 AK14">
    <cfRule type="expression" dxfId="41" priority="1242" stopIfTrue="1">
      <formula>AND(ISNUMBER(O17),O17&gt;=$N14)</formula>
    </cfRule>
  </conditionalFormatting>
  <conditionalFormatting sqref="P15:W15 AK15">
    <cfRule type="expression" dxfId="40" priority="1243" stopIfTrue="1">
      <formula>AND(ISNUMBER(O17),O17&gt;=$N14)</formula>
    </cfRule>
  </conditionalFormatting>
  <conditionalFormatting sqref="P16:W16 AK16">
    <cfRule type="expression" dxfId="39" priority="1244" stopIfTrue="1">
      <formula>AND(ISNUMBER(O17),O17&gt;=$N14)</formula>
    </cfRule>
    <cfRule type="cellIs" dxfId="38" priority="1245" stopIfTrue="1" operator="notBetween">
      <formula>0</formula>
      <formula>1</formula>
    </cfRule>
  </conditionalFormatting>
  <conditionalFormatting sqref="P17:W17 AK17">
    <cfRule type="expression" dxfId="37" priority="1246" stopIfTrue="1">
      <formula>AND(ISNUMBER(O17),O17&gt;=$N14)</formula>
    </cfRule>
    <cfRule type="cellIs" dxfId="36" priority="1247" stopIfTrue="1" operator="notBetween">
      <formula>0</formula>
      <formula>$N14</formula>
    </cfRule>
  </conditionalFormatting>
  <conditionalFormatting sqref="L8">
    <cfRule type="cellIs" dxfId="35" priority="1233" stopIfTrue="1" operator="notEqual">
      <formula>""</formula>
    </cfRule>
  </conditionalFormatting>
  <conditionalFormatting sqref="N9">
    <cfRule type="expression" dxfId="34" priority="1232" stopIfTrue="1">
      <formula>TipoOrçamento&lt;&gt;"REPROGRAMADOAC"</formula>
    </cfRule>
  </conditionalFormatting>
  <conditionalFormatting sqref="L19:M20">
    <cfRule type="expression" dxfId="33" priority="2067" stopIfTrue="1">
      <formula>#REF!=1</formula>
    </cfRule>
  </conditionalFormatting>
  <conditionalFormatting sqref="P11:W11 AK18 AK11">
    <cfRule type="expression" dxfId="32" priority="387" stopIfTrue="1">
      <formula>AND(ISNUMBER(O13),O13&gt;=$N11)</formula>
    </cfRule>
    <cfRule type="expression" dxfId="31" priority="388" stopIfTrue="1">
      <formula>$B13=FALSE</formula>
    </cfRule>
    <cfRule type="expression" dxfId="30" priority="389" stopIfTrue="1">
      <formula>$C13=1</formula>
    </cfRule>
  </conditionalFormatting>
  <conditionalFormatting sqref="P19:W19">
    <cfRule type="expression" dxfId="29" priority="338" stopIfTrue="1">
      <formula>AND(ISNUMBER(O20),O20&gt;=$N18)</formula>
    </cfRule>
    <cfRule type="cellIs" dxfId="28" priority="339" stopIfTrue="1" operator="notBetween">
      <formula>0</formula>
      <formula>1</formula>
    </cfRule>
  </conditionalFormatting>
  <conditionalFormatting sqref="P20:W20">
    <cfRule type="expression" dxfId="27" priority="340" stopIfTrue="1">
      <formula>AND(ISNUMBER(O20),O20&gt;=$N18)</formula>
    </cfRule>
    <cfRule type="cellIs" dxfId="26" priority="341" stopIfTrue="1" operator="notBetween">
      <formula>0</formula>
      <formula>$N18</formula>
    </cfRule>
  </conditionalFormatting>
  <conditionalFormatting sqref="O10:W10">
    <cfRule type="expression" dxfId="25" priority="310" stopIfTrue="1">
      <formula>1=1</formula>
    </cfRule>
  </conditionalFormatting>
  <conditionalFormatting sqref="P18:W18">
    <cfRule type="expression" dxfId="24" priority="265" stopIfTrue="1">
      <formula>AND(ISNUMBER(O20),O20&gt;=$N18)</formula>
    </cfRule>
    <cfRule type="expression" dxfId="23" priority="266" stopIfTrue="1">
      <formula>$B20=FALSE</formula>
    </cfRule>
    <cfRule type="expression" dxfId="22" priority="267" stopIfTrue="1">
      <formula>$C20=1</formula>
    </cfRule>
  </conditionalFormatting>
  <conditionalFormatting sqref="AK10">
    <cfRule type="expression" dxfId="21" priority="188" stopIfTrue="1">
      <formula>1=1</formula>
    </cfRule>
  </conditionalFormatting>
  <conditionalFormatting sqref="X12:AE12">
    <cfRule type="expression" dxfId="20" priority="19" stopIfTrue="1">
      <formula>AND(ISNUMBER(W13),W13&gt;=$N11)</formula>
    </cfRule>
    <cfRule type="cellIs" dxfId="19" priority="20" stopIfTrue="1" operator="notBetween">
      <formula>0</formula>
      <formula>1</formula>
    </cfRule>
  </conditionalFormatting>
  <conditionalFormatting sqref="X13:AE13">
    <cfRule type="expression" dxfId="18" priority="21" stopIfTrue="1">
      <formula>AND(ISNUMBER(W13),W13&gt;=$N11)</formula>
    </cfRule>
    <cfRule type="cellIs" dxfId="17" priority="22" stopIfTrue="1" operator="notBetween">
      <formula>0</formula>
      <formula>$N11</formula>
    </cfRule>
  </conditionalFormatting>
  <conditionalFormatting sqref="X14:AE14">
    <cfRule type="expression" dxfId="16" priority="23" stopIfTrue="1">
      <formula>AND(ISNUMBER(W17),W17&gt;=$N14)</formula>
    </cfRule>
  </conditionalFormatting>
  <conditionalFormatting sqref="X15:AE15">
    <cfRule type="expression" dxfId="15" priority="24" stopIfTrue="1">
      <formula>AND(ISNUMBER(W17),W17&gt;=$N14)</formula>
    </cfRule>
  </conditionalFormatting>
  <conditionalFormatting sqref="X16:AE16">
    <cfRule type="expression" dxfId="14" priority="25" stopIfTrue="1">
      <formula>AND(ISNUMBER(W17),W17&gt;=$N14)</formula>
    </cfRule>
    <cfRule type="cellIs" dxfId="13" priority="26" stopIfTrue="1" operator="notBetween">
      <formula>0</formula>
      <formula>1</formula>
    </cfRule>
  </conditionalFormatting>
  <conditionalFormatting sqref="X17:AE17">
    <cfRule type="expression" dxfId="12" priority="27" stopIfTrue="1">
      <formula>AND(ISNUMBER(W17),W17&gt;=$N14)</formula>
    </cfRule>
    <cfRule type="cellIs" dxfId="11" priority="28" stopIfTrue="1" operator="notBetween">
      <formula>0</formula>
      <formula>$N14</formula>
    </cfRule>
  </conditionalFormatting>
  <conditionalFormatting sqref="X11:AE11">
    <cfRule type="expression" dxfId="10" priority="16" stopIfTrue="1">
      <formula>AND(ISNUMBER(W13),W13&gt;=$N11)</formula>
    </cfRule>
    <cfRule type="expression" dxfId="9" priority="17" stopIfTrue="1">
      <formula>$B13=FALSE</formula>
    </cfRule>
    <cfRule type="expression" dxfId="8" priority="18" stopIfTrue="1">
      <formula>$C13=1</formula>
    </cfRule>
  </conditionalFormatting>
  <conditionalFormatting sqref="X19:AE19">
    <cfRule type="expression" dxfId="7" priority="12" stopIfTrue="1">
      <formula>AND(ISNUMBER(W20),W20&gt;=$N18)</formula>
    </cfRule>
    <cfRule type="cellIs" dxfId="6" priority="13" stopIfTrue="1" operator="notBetween">
      <formula>0</formula>
      <formula>1</formula>
    </cfRule>
  </conditionalFormatting>
  <conditionalFormatting sqref="X20:AE20">
    <cfRule type="expression" dxfId="5" priority="14" stopIfTrue="1">
      <formula>AND(ISNUMBER(W20),W20&gt;=$N18)</formula>
    </cfRule>
    <cfRule type="cellIs" dxfId="4" priority="15" stopIfTrue="1" operator="notBetween">
      <formula>0</formula>
      <formula>$N18</formula>
    </cfRule>
  </conditionalFormatting>
  <conditionalFormatting sqref="X10:AE10">
    <cfRule type="expression" dxfId="3" priority="11" stopIfTrue="1">
      <formula>1=1</formula>
    </cfRule>
  </conditionalFormatting>
  <conditionalFormatting sqref="X18:AE18">
    <cfRule type="expression" dxfId="2" priority="8" stopIfTrue="1">
      <formula>AND(ISNUMBER(W20),W20&gt;=$N18)</formula>
    </cfRule>
    <cfRule type="expression" dxfId="1" priority="9" stopIfTrue="1">
      <formula>$B20=FALSE</formula>
    </cfRule>
    <cfRule type="expression" dxfId="0" priority="10" stopIfTrue="1">
      <formula>$C20=1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500-000000000000}">
      <formula1>0</formula1>
    </dataValidation>
    <dataValidation type="decimal" allowBlank="1" showInputMessage="1" showErrorMessage="1" errorTitle="Erro de Dados" error="Digite valores maiores ou iguais à 0%. O % acumulado não deve ultrapassar 100%." sqref="P11:AE11 AK18 AK11 P18:AE18" xr:uid="{00000000-0002-0000-0500-000001000000}">
      <formula1>0</formula1>
      <formula2>1-SUM($P11:P11)+P11</formula2>
    </dataValidation>
  </dataValidations>
  <printOptions horizontalCentered="1"/>
  <pageMargins left="0.23622047244094491" right="0.23622047244094491" top="0.74803149606299213" bottom="0.74803149606299213" header="0.31496062992125984" footer="0.31496062992125984"/>
  <pageSetup paperSize="9" scale="50" orientation="landscape" r:id="rId1"/>
  <headerFooter alignWithMargins="0">
    <oddHeader>&amp;C&amp;14I</oddHeader>
    <oddFooter>&amp;R&amp;P&amp;L27.476 v008   micro</oddFooter>
  </headerFooter>
  <colBreaks count="1" manualBreakCount="1">
    <brk id="27" max="10485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60</vt:i4>
      </vt:variant>
    </vt:vector>
  </HeadingPairs>
  <TitlesOfParts>
    <vt:vector size="66"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Tobias Meneguzzo</cp:lastModifiedBy>
  <cp:lastPrinted>2025-03-19T19:14:23Z</cp:lastPrinted>
  <dcterms:created xsi:type="dcterms:W3CDTF">1998-03-27T18:43:07Z</dcterms:created>
  <dcterms:modified xsi:type="dcterms:W3CDTF">2025-03-19T19:21:18Z</dcterms:modified>
</cp:coreProperties>
</file>