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EstaPasta_de_trabalho"/>
  <mc:AlternateContent xmlns:mc="http://schemas.openxmlformats.org/markup-compatibility/2006">
    <mc:Choice Requires="x15">
      <x15ac:absPath xmlns:x15ac="http://schemas.microsoft.com/office/spreadsheetml/2010/11/ac" url="H:\00 - ARQUIVO DIGITAL DE PROJETOS\24 - Pavimentações Ruas e Drenagens Pluvias\2025 ESTRADA IMACULADA CONCEIÇÃO\PDF LICITA\"/>
    </mc:Choice>
  </mc:AlternateContent>
  <workbookProtection workbookPassword="C95B" lockStructure="1"/>
  <bookViews>
    <workbookView xWindow="0" yWindow="0" windowWidth="28800" windowHeight="12336" activeTab="2"/>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0">DADOS!$A$1:$X$87</definedName>
    <definedName name="_xlnm.Print_Area" localSheetId="3">PLQ!$B$1:$O$127</definedName>
    <definedName name="_xlnm.Print_Area" localSheetId="2">PO!$K$1:$T$136</definedName>
    <definedName name="_xlnm.Database">TEXT(Import.DataBase,"mm-aaaa")</definedName>
    <definedName name="CFF.ColunaPadrão">CFF!$AC:$AC</definedName>
    <definedName name="CFF.Colunas">CFF!$P$10:$X$10</definedName>
    <definedName name="CFF.Dados">OFFSET(CFF!$L$17,1,0):OFFSET(CFF!$X$81,-1,-1)</definedName>
    <definedName name="CFF.IncluirLinha">MAX(PO!$V$12:$V$121)*CFF.NumLinha-ROW(CFF!$F$81)+ROW(CFF!$F$17)+1</definedName>
    <definedName name="CFF.Item">OFFSET(CFF!$L$17,1,0):OFFSET(CFF!$X$81,-1,-1)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OFFSET(PO!$M$12,1,0):OFFSET(PO!$M$121,-1,0)</definedName>
    <definedName name="Import.CR">DADOS!$A$29</definedName>
    <definedName name="Import.CTEF">DADOS!$A$43</definedName>
    <definedName name="Import.CustoUnitário">OFFSET(PO!$Q$12,1,0):OFFSET(PO!$Q$121,-1,0)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OFFSET(PO!$N$12,1,0):OFFSET(PO!$N$121,-1,0)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OFFSET(PO!$L$12,1,0):OFFSET(PO!$L$121,-1,0)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OFFSET(PO!$K$12,1,0):OFFSET(PO!$K$121,-1,0)</definedName>
    <definedName name="Import.Localidade">DADOS!$K$32</definedName>
    <definedName name="Import.LocalSINAPI">DADOS!$D$38</definedName>
    <definedName name="Import.Município">DADOS!$G$32</definedName>
    <definedName name="Import.Nível">OFFSET(PO!$J$12,1,0):OFFSET(PO!$J$121,-1,0)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OFFSET(PLQ!$F$12,1,0):OFFSET(PLQ!$P$121,-1,-1)</definedName>
    <definedName name="Import.POArred">PO!$X$3:$X$7</definedName>
    <definedName name="Import.PreçoTotal">OFFSET(PO!$T$12,1,0):OFFSET(PO!$T$121,-1,0)</definedName>
    <definedName name="Import.PreçoUnitário">OFFSET(PO!$S$12,1,0):OFFSET(PO!$S$121,-1,0)</definedName>
    <definedName name="Import.Programa">DADOS!$F$29</definedName>
    <definedName name="Import.Proponente">DADOS!$A$32</definedName>
    <definedName name="Import.Quantidade">OFFSET(PO!$P$12,1,0):OFFSET(PO!$P$121,-1,0)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OFFSET(PO!$O$12,1,0):OFFSET(PO!$O$121,-1,0)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OFFSET(PO!$Z$12,1,0):OFFSET(PO!$Z$121,-1,0)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PO!$K$122</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PLQ!$B$9:OFFSET(PLQ!$B$121,-1,0)</definedName>
    <definedName name="PLQ.LinhaPadrão">PLQ!$A$11:$P$11</definedName>
    <definedName name="PLQ.qtde.frentes">COUNTA(PLQ!$F$9:$P$9)</definedName>
    <definedName name="PO.BDI">OFFSET(PO!$R$12,1,0):OFFSET(PO!$R$121,-1,0)</definedName>
    <definedName name="PO.CustoRef">OFFSET(PO!$Y$12,1,0):OFFSET(PO!$Y$121,-1,0)</definedName>
    <definedName name="PO.CustoUnitario">ROUND(PO!$Q1,15-13*PO!$X$4)</definedName>
    <definedName name="PO.Dados">PO!$C$12:OFFSET(PO!$Z$121,-1,0)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62913"/>
</workbook>
</file>

<file path=xl/calcChain.xml><?xml version="1.0" encoding="utf-8"?>
<calcChain xmlns="http://schemas.openxmlformats.org/spreadsheetml/2006/main">
  <c r="P111" i="12" l="1"/>
  <c r="P90" i="12"/>
  <c r="P69" i="12"/>
  <c r="P48" i="12"/>
  <c r="P27" i="12"/>
  <c r="P106" i="12"/>
  <c r="P105" i="12"/>
  <c r="P104" i="12"/>
  <c r="P85" i="12"/>
  <c r="P84" i="12"/>
  <c r="P83" i="12"/>
  <c r="P64" i="12"/>
  <c r="P63" i="12"/>
  <c r="P62" i="12"/>
  <c r="P43" i="12"/>
  <c r="P42" i="12"/>
  <c r="P41" i="12"/>
  <c r="P21" i="12"/>
  <c r="P20" i="12"/>
  <c r="F104" i="13"/>
  <c r="A104" i="13"/>
  <c r="W104" i="12"/>
  <c r="A104" i="12"/>
  <c r="F83" i="13"/>
  <c r="A83" i="13"/>
  <c r="W83" i="12"/>
  <c r="V83" i="12"/>
  <c r="C83" i="13"/>
  <c r="H83" i="12"/>
  <c r="B83" i="12"/>
  <c r="A83" i="12"/>
  <c r="F62" i="13"/>
  <c r="A62" i="13"/>
  <c r="W62" i="12"/>
  <c r="V62" i="12"/>
  <c r="H62" i="12"/>
  <c r="A62" i="12"/>
  <c r="F41" i="13"/>
  <c r="A41" i="13"/>
  <c r="W41" i="12"/>
  <c r="V41" i="12"/>
  <c r="H41" i="12"/>
  <c r="B41" i="12"/>
  <c r="A41" i="12"/>
  <c r="E41" i="13" l="1"/>
  <c r="E83" i="13"/>
  <c r="H104" i="12"/>
  <c r="V104" i="12"/>
  <c r="I104" i="12"/>
  <c r="E104" i="13"/>
  <c r="B104" i="12"/>
  <c r="D83" i="13"/>
  <c r="C62" i="13"/>
  <c r="I83" i="12"/>
  <c r="D62" i="13"/>
  <c r="I62" i="12"/>
  <c r="E62" i="13"/>
  <c r="B62" i="12"/>
  <c r="C41" i="13"/>
  <c r="I41" i="12"/>
  <c r="C104" i="13" l="1"/>
  <c r="F20" i="13" l="1"/>
  <c r="A20" i="13"/>
  <c r="W20" i="12"/>
  <c r="A20" i="12"/>
  <c r="H20" i="12" l="1"/>
  <c r="V20" i="12"/>
  <c r="I20" i="12"/>
  <c r="E20" i="13"/>
  <c r="B20" i="12"/>
  <c r="A120" i="13"/>
  <c r="F119" i="13"/>
  <c r="C119" i="13"/>
  <c r="A119" i="13"/>
  <c r="A118" i="13"/>
  <c r="D117" i="13"/>
  <c r="C117" i="13"/>
  <c r="A117" i="13"/>
  <c r="D116" i="13"/>
  <c r="C116" i="13"/>
  <c r="A116" i="13"/>
  <c r="F115" i="13"/>
  <c r="C115" i="13"/>
  <c r="A115" i="13"/>
  <c r="D114" i="13"/>
  <c r="C114" i="13"/>
  <c r="A114" i="13"/>
  <c r="D113" i="13"/>
  <c r="C113" i="13"/>
  <c r="A113" i="13"/>
  <c r="D112" i="13"/>
  <c r="C112" i="13"/>
  <c r="A112" i="13"/>
  <c r="D111" i="13"/>
  <c r="C111" i="13"/>
  <c r="A111" i="13"/>
  <c r="D110" i="13"/>
  <c r="C110" i="13"/>
  <c r="A110" i="13"/>
  <c r="D109" i="13"/>
  <c r="C109" i="13"/>
  <c r="A109" i="13"/>
  <c r="F108" i="13"/>
  <c r="C108" i="13"/>
  <c r="A108" i="13"/>
  <c r="E108" i="13" s="1"/>
  <c r="D107" i="13"/>
  <c r="C107" i="13"/>
  <c r="A107" i="13"/>
  <c r="D106" i="13"/>
  <c r="C106" i="13"/>
  <c r="A106" i="13"/>
  <c r="D105" i="13"/>
  <c r="C105" i="13"/>
  <c r="A105" i="13"/>
  <c r="F103" i="13"/>
  <c r="A103" i="13"/>
  <c r="F102" i="13"/>
  <c r="C102" i="13"/>
  <c r="A102" i="13"/>
  <c r="F101" i="13"/>
  <c r="C101" i="13"/>
  <c r="A101" i="13"/>
  <c r="E101" i="13" s="1"/>
  <c r="W120" i="12"/>
  <c r="P120" i="12"/>
  <c r="F120" i="13" s="1"/>
  <c r="A120" i="12"/>
  <c r="V120" i="12" s="1"/>
  <c r="X119" i="12"/>
  <c r="W119" i="12"/>
  <c r="A119" i="12"/>
  <c r="W118" i="12"/>
  <c r="A118" i="12"/>
  <c r="I118" i="12" s="1"/>
  <c r="W117" i="12"/>
  <c r="A117" i="12"/>
  <c r="V117" i="12" s="1"/>
  <c r="W116" i="12"/>
  <c r="A116" i="12"/>
  <c r="V116" i="12" s="1"/>
  <c r="X115" i="12"/>
  <c r="D115" i="13" s="1"/>
  <c r="W115" i="12"/>
  <c r="A115" i="12"/>
  <c r="F115" i="12" s="1"/>
  <c r="W114" i="12"/>
  <c r="A114" i="12"/>
  <c r="I114" i="12" s="1"/>
  <c r="W113" i="12"/>
  <c r="A113" i="12"/>
  <c r="B113" i="12" s="1"/>
  <c r="W112" i="12"/>
  <c r="A112" i="12"/>
  <c r="V112" i="12" s="1"/>
  <c r="W111" i="12"/>
  <c r="F111" i="13"/>
  <c r="A111" i="12"/>
  <c r="B111" i="12" s="1"/>
  <c r="W110" i="12"/>
  <c r="A110" i="12"/>
  <c r="V110" i="12" s="1"/>
  <c r="W109" i="12"/>
  <c r="P109" i="12"/>
  <c r="A109" i="12"/>
  <c r="B109" i="12" s="1"/>
  <c r="X108" i="12"/>
  <c r="W108" i="12"/>
  <c r="A108" i="12"/>
  <c r="W107" i="12"/>
  <c r="A107" i="12"/>
  <c r="I107" i="12" s="1"/>
  <c r="W106" i="12"/>
  <c r="F106" i="13"/>
  <c r="A106" i="12"/>
  <c r="B106" i="12" s="1"/>
  <c r="W105" i="12"/>
  <c r="A105" i="12"/>
  <c r="B105" i="12" s="1"/>
  <c r="W103" i="12"/>
  <c r="A103" i="12"/>
  <c r="V103" i="12" s="1"/>
  <c r="X102" i="12"/>
  <c r="W102" i="12"/>
  <c r="A102" i="12"/>
  <c r="S102" i="12" s="1"/>
  <c r="X101" i="12"/>
  <c r="W101" i="12"/>
  <c r="A101" i="12"/>
  <c r="F101" i="12" s="1"/>
  <c r="F100" i="13"/>
  <c r="A100" i="13"/>
  <c r="A99" i="13"/>
  <c r="F98" i="13"/>
  <c r="C98" i="13"/>
  <c r="A98" i="13"/>
  <c r="A97" i="13"/>
  <c r="D96" i="13"/>
  <c r="C96" i="13"/>
  <c r="A96" i="13"/>
  <c r="D95" i="13"/>
  <c r="C95" i="13"/>
  <c r="A95" i="13"/>
  <c r="F94" i="13"/>
  <c r="C94" i="13"/>
  <c r="A94" i="13"/>
  <c r="D93" i="13"/>
  <c r="C93" i="13"/>
  <c r="A93" i="13"/>
  <c r="D92" i="13"/>
  <c r="C92" i="13"/>
  <c r="A92" i="13"/>
  <c r="D91" i="13"/>
  <c r="C91" i="13"/>
  <c r="A91" i="13"/>
  <c r="D90" i="13"/>
  <c r="C90" i="13"/>
  <c r="A90" i="13"/>
  <c r="D89" i="13"/>
  <c r="C89" i="13"/>
  <c r="A89" i="13"/>
  <c r="D88" i="13"/>
  <c r="C88" i="13"/>
  <c r="A88" i="13"/>
  <c r="F87" i="13"/>
  <c r="C87" i="13"/>
  <c r="A87" i="13"/>
  <c r="E87" i="13" s="1"/>
  <c r="D86" i="13"/>
  <c r="C86" i="13"/>
  <c r="A86" i="13"/>
  <c r="D85" i="13"/>
  <c r="C85" i="13"/>
  <c r="A85" i="13"/>
  <c r="D84" i="13"/>
  <c r="C84" i="13"/>
  <c r="A84" i="13"/>
  <c r="F82" i="13"/>
  <c r="A82" i="13"/>
  <c r="F81" i="13"/>
  <c r="C81" i="13"/>
  <c r="A81" i="13"/>
  <c r="F80" i="13"/>
  <c r="C80" i="13"/>
  <c r="A80" i="13"/>
  <c r="E80" i="13" s="1"/>
  <c r="W100" i="12"/>
  <c r="A100" i="12"/>
  <c r="V100" i="12" s="1"/>
  <c r="W99" i="12"/>
  <c r="P99" i="12"/>
  <c r="F99" i="13" s="1"/>
  <c r="A99" i="12"/>
  <c r="B99" i="12" s="1"/>
  <c r="X98" i="12"/>
  <c r="W98" i="12"/>
  <c r="A98" i="12"/>
  <c r="W97" i="12"/>
  <c r="A97" i="12"/>
  <c r="I97" i="12" s="1"/>
  <c r="W96" i="12"/>
  <c r="A96" i="12"/>
  <c r="H96" i="12" s="1"/>
  <c r="W95" i="12"/>
  <c r="A95" i="12"/>
  <c r="V95" i="12" s="1"/>
  <c r="X94" i="12"/>
  <c r="D94" i="13" s="1"/>
  <c r="W94" i="12"/>
  <c r="A94" i="12"/>
  <c r="S94" i="12" s="1"/>
  <c r="W93" i="12"/>
  <c r="A93" i="12"/>
  <c r="I93" i="12" s="1"/>
  <c r="W92" i="12"/>
  <c r="A92" i="12"/>
  <c r="V92" i="12" s="1"/>
  <c r="W91" i="12"/>
  <c r="A91" i="12"/>
  <c r="W90" i="12"/>
  <c r="F90" i="13"/>
  <c r="A90" i="12"/>
  <c r="H90" i="12" s="1"/>
  <c r="W89" i="12"/>
  <c r="A89" i="12"/>
  <c r="V89" i="12" s="1"/>
  <c r="W88" i="12"/>
  <c r="P88" i="12"/>
  <c r="P89" i="12" s="1"/>
  <c r="A88" i="12"/>
  <c r="B88" i="12" s="1"/>
  <c r="X87" i="12"/>
  <c r="W87" i="12"/>
  <c r="A87" i="12"/>
  <c r="W86" i="12"/>
  <c r="A86" i="12"/>
  <c r="B86" i="12" s="1"/>
  <c r="W85" i="12"/>
  <c r="F85" i="13"/>
  <c r="A85" i="12"/>
  <c r="H85" i="12" s="1"/>
  <c r="W84" i="12"/>
  <c r="A84" i="12"/>
  <c r="H84" i="12" s="1"/>
  <c r="W82" i="12"/>
  <c r="A82" i="12"/>
  <c r="H82" i="12" s="1"/>
  <c r="X81" i="12"/>
  <c r="W81" i="12"/>
  <c r="A81" i="12"/>
  <c r="G81" i="12" s="1"/>
  <c r="X80" i="12"/>
  <c r="W80" i="12"/>
  <c r="A80" i="12"/>
  <c r="D80" i="12" s="1"/>
  <c r="F79" i="13"/>
  <c r="A79" i="13"/>
  <c r="A78" i="13"/>
  <c r="F77" i="13"/>
  <c r="C77" i="13"/>
  <c r="A77" i="13"/>
  <c r="A76" i="13"/>
  <c r="D75" i="13"/>
  <c r="C75" i="13"/>
  <c r="A75" i="13"/>
  <c r="D74" i="13"/>
  <c r="C74" i="13"/>
  <c r="A74" i="13"/>
  <c r="F73" i="13"/>
  <c r="C73" i="13"/>
  <c r="A73" i="13"/>
  <c r="D72" i="13"/>
  <c r="C72" i="13"/>
  <c r="A72" i="13"/>
  <c r="D71" i="13"/>
  <c r="C71" i="13"/>
  <c r="A71" i="13"/>
  <c r="D70" i="13"/>
  <c r="C70" i="13"/>
  <c r="A70" i="13"/>
  <c r="D69" i="13"/>
  <c r="C69" i="13"/>
  <c r="A69" i="13"/>
  <c r="D68" i="13"/>
  <c r="C68" i="13"/>
  <c r="A68" i="13"/>
  <c r="D67" i="13"/>
  <c r="C67" i="13"/>
  <c r="A67" i="13"/>
  <c r="F66" i="13"/>
  <c r="C66" i="13"/>
  <c r="A66" i="13"/>
  <c r="E66" i="13" s="1"/>
  <c r="D65" i="13"/>
  <c r="C65" i="13"/>
  <c r="A65" i="13"/>
  <c r="D64" i="13"/>
  <c r="C64" i="13"/>
  <c r="A64" i="13"/>
  <c r="D63" i="13"/>
  <c r="C63" i="13"/>
  <c r="A63" i="13"/>
  <c r="F61" i="13"/>
  <c r="A61" i="13"/>
  <c r="F60" i="13"/>
  <c r="C60" i="13"/>
  <c r="A60" i="13"/>
  <c r="F59" i="13"/>
  <c r="C59" i="13"/>
  <c r="A59" i="13"/>
  <c r="E59" i="13" s="1"/>
  <c r="W79" i="12"/>
  <c r="A79" i="12"/>
  <c r="V79" i="12" s="1"/>
  <c r="W78" i="12"/>
  <c r="P78" i="12"/>
  <c r="F78" i="13" s="1"/>
  <c r="A78" i="12"/>
  <c r="I78" i="12" s="1"/>
  <c r="X77" i="12"/>
  <c r="W77" i="12"/>
  <c r="A77" i="12"/>
  <c r="W76" i="12"/>
  <c r="A76" i="12"/>
  <c r="I76" i="12" s="1"/>
  <c r="W75" i="12"/>
  <c r="A75" i="12"/>
  <c r="H75" i="12" s="1"/>
  <c r="W74" i="12"/>
  <c r="A74" i="12"/>
  <c r="V74" i="12" s="1"/>
  <c r="X73" i="12"/>
  <c r="D73" i="13" s="1"/>
  <c r="W73" i="12"/>
  <c r="A73" i="12"/>
  <c r="S73" i="12" s="1"/>
  <c r="W72" i="12"/>
  <c r="A72" i="12"/>
  <c r="I72" i="12" s="1"/>
  <c r="W71" i="12"/>
  <c r="A71" i="12"/>
  <c r="V71" i="12" s="1"/>
  <c r="W70" i="12"/>
  <c r="A70" i="12"/>
  <c r="V70" i="12" s="1"/>
  <c r="W69" i="12"/>
  <c r="F69" i="13"/>
  <c r="A69" i="12"/>
  <c r="W68" i="12"/>
  <c r="A68" i="12"/>
  <c r="I68" i="12" s="1"/>
  <c r="W67" i="12"/>
  <c r="P67" i="12"/>
  <c r="A67" i="12"/>
  <c r="V67" i="12" s="1"/>
  <c r="X66" i="12"/>
  <c r="W66" i="12"/>
  <c r="A66" i="12"/>
  <c r="W65" i="12"/>
  <c r="A65" i="12"/>
  <c r="W64" i="12"/>
  <c r="F64" i="13"/>
  <c r="A64" i="12"/>
  <c r="W63" i="12"/>
  <c r="A63" i="12"/>
  <c r="V63" i="12" s="1"/>
  <c r="W61" i="12"/>
  <c r="A61" i="12"/>
  <c r="H61" i="12" s="1"/>
  <c r="X60" i="12"/>
  <c r="W60" i="12"/>
  <c r="A60" i="12"/>
  <c r="X59" i="12"/>
  <c r="W59" i="12"/>
  <c r="A59" i="12"/>
  <c r="S59" i="12" s="1"/>
  <c r="F58" i="13"/>
  <c r="A58" i="13"/>
  <c r="A57" i="13"/>
  <c r="F56" i="13"/>
  <c r="C56" i="13"/>
  <c r="A56" i="13"/>
  <c r="A55" i="13"/>
  <c r="D54" i="13"/>
  <c r="C54" i="13"/>
  <c r="A54" i="13"/>
  <c r="D53" i="13"/>
  <c r="C53" i="13"/>
  <c r="A53" i="13"/>
  <c r="F52" i="13"/>
  <c r="C52" i="13"/>
  <c r="A52" i="13"/>
  <c r="D51" i="13"/>
  <c r="C51" i="13"/>
  <c r="A51" i="13"/>
  <c r="D50" i="13"/>
  <c r="C50" i="13"/>
  <c r="A50" i="13"/>
  <c r="D49" i="13"/>
  <c r="C49" i="13"/>
  <c r="A49" i="13"/>
  <c r="D48" i="13"/>
  <c r="C48" i="13"/>
  <c r="A48" i="13"/>
  <c r="D47" i="13"/>
  <c r="C47" i="13"/>
  <c r="A47" i="13"/>
  <c r="D46" i="13"/>
  <c r="C46" i="13"/>
  <c r="A46" i="13"/>
  <c r="F45" i="13"/>
  <c r="C45" i="13"/>
  <c r="A45" i="13"/>
  <c r="E45" i="13" s="1"/>
  <c r="D44" i="13"/>
  <c r="C44" i="13"/>
  <c r="A44" i="13"/>
  <c r="D43" i="13"/>
  <c r="C43" i="13"/>
  <c r="A43" i="13"/>
  <c r="D42" i="13"/>
  <c r="C42" i="13"/>
  <c r="A42" i="13"/>
  <c r="F40" i="13"/>
  <c r="A40" i="13"/>
  <c r="F39" i="13"/>
  <c r="C39" i="13"/>
  <c r="A39" i="13"/>
  <c r="F38" i="13"/>
  <c r="C38" i="13"/>
  <c r="A38" i="13"/>
  <c r="E38" i="13" s="1"/>
  <c r="W58" i="12"/>
  <c r="A58" i="12"/>
  <c r="V58" i="12" s="1"/>
  <c r="W57" i="12"/>
  <c r="P57" i="12"/>
  <c r="F57" i="13" s="1"/>
  <c r="A57" i="12"/>
  <c r="V57" i="12" s="1"/>
  <c r="X56" i="12"/>
  <c r="W56" i="12"/>
  <c r="A56" i="12"/>
  <c r="W55" i="12"/>
  <c r="A55" i="12"/>
  <c r="I55" i="12" s="1"/>
  <c r="W54" i="12"/>
  <c r="H54" i="12"/>
  <c r="A54" i="12"/>
  <c r="V54" i="12" s="1"/>
  <c r="W53" i="12"/>
  <c r="A53" i="12"/>
  <c r="V53" i="12" s="1"/>
  <c r="X52" i="12"/>
  <c r="D52" i="13" s="1"/>
  <c r="W52" i="12"/>
  <c r="S52" i="12"/>
  <c r="A52" i="12"/>
  <c r="F52" i="12" s="1"/>
  <c r="W51" i="12"/>
  <c r="A51" i="12"/>
  <c r="I51" i="12" s="1"/>
  <c r="W50" i="12"/>
  <c r="A50" i="12"/>
  <c r="B50" i="12" s="1"/>
  <c r="W49" i="12"/>
  <c r="A49" i="12"/>
  <c r="W48" i="12"/>
  <c r="F48" i="13"/>
  <c r="A48" i="12"/>
  <c r="H48" i="12" s="1"/>
  <c r="W47" i="12"/>
  <c r="A47" i="12"/>
  <c r="V47" i="12" s="1"/>
  <c r="W46" i="12"/>
  <c r="P46" i="12"/>
  <c r="P47" i="12" s="1"/>
  <c r="A46" i="12"/>
  <c r="B46" i="12" s="1"/>
  <c r="X45" i="12"/>
  <c r="W45" i="12"/>
  <c r="A45" i="12"/>
  <c r="F45" i="12" s="1"/>
  <c r="W44" i="12"/>
  <c r="A44" i="12"/>
  <c r="I44" i="12" s="1"/>
  <c r="W43" i="12"/>
  <c r="F43" i="13"/>
  <c r="A43" i="12"/>
  <c r="H43" i="12" s="1"/>
  <c r="W42" i="12"/>
  <c r="A42" i="12"/>
  <c r="H42" i="12" s="1"/>
  <c r="W40" i="12"/>
  <c r="A40" i="12"/>
  <c r="H40" i="12" s="1"/>
  <c r="X39" i="12"/>
  <c r="W39" i="12"/>
  <c r="A39" i="12"/>
  <c r="G39" i="12" s="1"/>
  <c r="X38" i="12"/>
  <c r="W38" i="12"/>
  <c r="A38" i="12"/>
  <c r="G38" i="12" s="1"/>
  <c r="F17" i="13"/>
  <c r="A17" i="13"/>
  <c r="X17" i="12"/>
  <c r="W17" i="12"/>
  <c r="A17" i="12"/>
  <c r="C17" i="13" s="1"/>
  <c r="P68" i="12" l="1"/>
  <c r="F68" i="13" s="1"/>
  <c r="E68" i="13" s="1"/>
  <c r="P110" i="12"/>
  <c r="P118" i="12" s="1"/>
  <c r="F118" i="13" s="1"/>
  <c r="E118" i="13" s="1"/>
  <c r="H113" i="12"/>
  <c r="B67" i="12"/>
  <c r="D81" i="12"/>
  <c r="D82" i="12" s="1"/>
  <c r="H88" i="12"/>
  <c r="V96" i="12"/>
  <c r="H99" i="12"/>
  <c r="C20" i="13"/>
  <c r="H67" i="12"/>
  <c r="F102" i="12"/>
  <c r="F103" i="12" s="1"/>
  <c r="G101" i="12"/>
  <c r="B103" i="12"/>
  <c r="V68" i="12"/>
  <c r="V42" i="12"/>
  <c r="F46" i="12"/>
  <c r="F47" i="12" s="1"/>
  <c r="F48" i="12" s="1"/>
  <c r="F49" i="12" s="1"/>
  <c r="F50" i="12" s="1"/>
  <c r="F51" i="12" s="1"/>
  <c r="H46" i="12"/>
  <c r="H106" i="12"/>
  <c r="V105" i="12"/>
  <c r="B54" i="12"/>
  <c r="G66" i="12"/>
  <c r="G67" i="12" s="1"/>
  <c r="G68" i="12" s="1"/>
  <c r="G69" i="12" s="1"/>
  <c r="G70" i="12" s="1"/>
  <c r="G71" i="12" s="1"/>
  <c r="G72" i="12" s="1"/>
  <c r="P53" i="12"/>
  <c r="F53" i="13" s="1"/>
  <c r="E53" i="13" s="1"/>
  <c r="H50" i="12"/>
  <c r="V75" i="12"/>
  <c r="H78" i="12"/>
  <c r="F80" i="12"/>
  <c r="H86" i="12"/>
  <c r="H111" i="12"/>
  <c r="B117" i="12"/>
  <c r="B48" i="12"/>
  <c r="V50" i="12"/>
  <c r="G56" i="12"/>
  <c r="G57" i="12" s="1"/>
  <c r="G58" i="12" s="1"/>
  <c r="H58" i="12"/>
  <c r="G80" i="12"/>
  <c r="I86" i="12"/>
  <c r="E108" i="12"/>
  <c r="E109" i="12" s="1"/>
  <c r="E110" i="12" s="1"/>
  <c r="E111" i="12" s="1"/>
  <c r="E112" i="12" s="1"/>
  <c r="E113" i="12" s="1"/>
  <c r="E114" i="12" s="1"/>
  <c r="E115" i="12" s="1"/>
  <c r="S115" i="12"/>
  <c r="P116" i="12"/>
  <c r="F116" i="13" s="1"/>
  <c r="E116" i="13" s="1"/>
  <c r="G119" i="12"/>
  <c r="G120" i="12" s="1"/>
  <c r="S38" i="12"/>
  <c r="H109" i="12"/>
  <c r="V84" i="12"/>
  <c r="B57" i="12"/>
  <c r="D59" i="12"/>
  <c r="D60" i="12" s="1"/>
  <c r="D61" i="12" s="1"/>
  <c r="B71" i="12"/>
  <c r="F73" i="12"/>
  <c r="F74" i="12" s="1"/>
  <c r="F75" i="12" s="1"/>
  <c r="F76" i="12" s="1"/>
  <c r="B79" i="12"/>
  <c r="B84" i="12"/>
  <c r="H89" i="12"/>
  <c r="B92" i="12"/>
  <c r="F94" i="12"/>
  <c r="F95" i="12" s="1"/>
  <c r="F96" i="12" s="1"/>
  <c r="F97" i="12" s="1"/>
  <c r="B100" i="12"/>
  <c r="G102" i="12"/>
  <c r="G103" i="12" s="1"/>
  <c r="B107" i="12"/>
  <c r="V113" i="12"/>
  <c r="H117" i="12"/>
  <c r="B120" i="12"/>
  <c r="D38" i="12"/>
  <c r="D39" i="12" s="1"/>
  <c r="D40" i="12" s="1"/>
  <c r="V46" i="12"/>
  <c r="H57" i="12"/>
  <c r="H68" i="12"/>
  <c r="H71" i="12"/>
  <c r="P74" i="12"/>
  <c r="F74" i="13" s="1"/>
  <c r="E74" i="13" s="1"/>
  <c r="B75" i="12"/>
  <c r="G77" i="12"/>
  <c r="G78" i="12" s="1"/>
  <c r="G79" i="12" s="1"/>
  <c r="V78" i="12"/>
  <c r="H79" i="12"/>
  <c r="S80" i="12"/>
  <c r="V88" i="12"/>
  <c r="I89" i="12"/>
  <c r="B90" i="12"/>
  <c r="H92" i="12"/>
  <c r="P95" i="12"/>
  <c r="F95" i="13" s="1"/>
  <c r="E95" i="13" s="1"/>
  <c r="B96" i="12"/>
  <c r="G98" i="12"/>
  <c r="G99" i="12" s="1"/>
  <c r="G100" i="12" s="1"/>
  <c r="V99" i="12"/>
  <c r="H100" i="12"/>
  <c r="V106" i="12"/>
  <c r="H107" i="12"/>
  <c r="V109" i="12"/>
  <c r="H120" i="12"/>
  <c r="B58" i="12"/>
  <c r="H63" i="12"/>
  <c r="B78" i="12"/>
  <c r="H103" i="12"/>
  <c r="D108" i="13"/>
  <c r="D101" i="13"/>
  <c r="E103" i="13"/>
  <c r="E82" i="13"/>
  <c r="D119" i="13"/>
  <c r="E120" i="13"/>
  <c r="D102" i="13"/>
  <c r="F105" i="13"/>
  <c r="E105" i="13" s="1"/>
  <c r="P107" i="12"/>
  <c r="S108" i="12"/>
  <c r="F108" i="12"/>
  <c r="F109" i="12" s="1"/>
  <c r="F110" i="12" s="1"/>
  <c r="F111" i="12" s="1"/>
  <c r="F112" i="12" s="1"/>
  <c r="F113" i="12" s="1"/>
  <c r="F114" i="12" s="1"/>
  <c r="F109" i="13"/>
  <c r="E109" i="13" s="1"/>
  <c r="P113" i="12"/>
  <c r="F113" i="13" s="1"/>
  <c r="E113" i="13" s="1"/>
  <c r="P114" i="12"/>
  <c r="B112" i="12"/>
  <c r="H112" i="12"/>
  <c r="I112" i="12"/>
  <c r="D101" i="12"/>
  <c r="D102" i="12" s="1"/>
  <c r="D103" i="12" s="1"/>
  <c r="S101" i="12"/>
  <c r="E102" i="12"/>
  <c r="E103" i="12" s="1"/>
  <c r="I103" i="12"/>
  <c r="H105" i="12"/>
  <c r="I106" i="12"/>
  <c r="G108" i="12"/>
  <c r="G109" i="12" s="1"/>
  <c r="G110" i="12" s="1"/>
  <c r="G111" i="12" s="1"/>
  <c r="G112" i="12" s="1"/>
  <c r="G113" i="12" s="1"/>
  <c r="G114" i="12" s="1"/>
  <c r="P112" i="12"/>
  <c r="F112" i="13" s="1"/>
  <c r="E112" i="13" s="1"/>
  <c r="H114" i="12"/>
  <c r="V114" i="12"/>
  <c r="B114" i="12"/>
  <c r="D87" i="13"/>
  <c r="E101" i="12"/>
  <c r="I105" i="12"/>
  <c r="V107" i="12"/>
  <c r="H110" i="12"/>
  <c r="B110" i="12"/>
  <c r="I110" i="12"/>
  <c r="H118" i="12"/>
  <c r="V118" i="12"/>
  <c r="B118" i="12"/>
  <c r="E106" i="13"/>
  <c r="I109" i="12"/>
  <c r="V111" i="12"/>
  <c r="I113" i="12"/>
  <c r="G115" i="12"/>
  <c r="G116" i="12" s="1"/>
  <c r="G117" i="12" s="1"/>
  <c r="G118" i="12" s="1"/>
  <c r="V115" i="12"/>
  <c r="H116" i="12"/>
  <c r="I117" i="12"/>
  <c r="S119" i="12"/>
  <c r="I120" i="12"/>
  <c r="I116" i="12"/>
  <c r="E119" i="12"/>
  <c r="E120" i="12" s="1"/>
  <c r="E102" i="13"/>
  <c r="E111" i="13"/>
  <c r="E115" i="13"/>
  <c r="E119" i="13"/>
  <c r="I111" i="12"/>
  <c r="B116" i="12"/>
  <c r="F116" i="12"/>
  <c r="F117" i="12" s="1"/>
  <c r="F118" i="12" s="1"/>
  <c r="P117" i="12"/>
  <c r="F117" i="13" s="1"/>
  <c r="E117" i="13" s="1"/>
  <c r="F119" i="12"/>
  <c r="F120" i="12" s="1"/>
  <c r="D98" i="13"/>
  <c r="E99" i="13"/>
  <c r="D81" i="13"/>
  <c r="D80" i="13"/>
  <c r="F84" i="13"/>
  <c r="E84" i="13" s="1"/>
  <c r="P86" i="12"/>
  <c r="F88" i="13"/>
  <c r="E88" i="13" s="1"/>
  <c r="P92" i="12"/>
  <c r="F92" i="13" s="1"/>
  <c r="E92" i="13" s="1"/>
  <c r="P93" i="12"/>
  <c r="B91" i="12"/>
  <c r="H91" i="12"/>
  <c r="E81" i="12"/>
  <c r="E82" i="12" s="1"/>
  <c r="S81" i="12"/>
  <c r="I82" i="12"/>
  <c r="V82" i="12"/>
  <c r="I85" i="12"/>
  <c r="G87" i="12"/>
  <c r="G88" i="12" s="1"/>
  <c r="G89" i="12" s="1"/>
  <c r="G90" i="12" s="1"/>
  <c r="G91" i="12" s="1"/>
  <c r="G92" i="12" s="1"/>
  <c r="G93" i="12" s="1"/>
  <c r="P91" i="12"/>
  <c r="F91" i="13" s="1"/>
  <c r="E91" i="13" s="1"/>
  <c r="E80" i="12"/>
  <c r="F81" i="12"/>
  <c r="F82" i="12" s="1"/>
  <c r="B82" i="12"/>
  <c r="I84" i="12"/>
  <c r="B85" i="12"/>
  <c r="V85" i="12"/>
  <c r="V86" i="12"/>
  <c r="H93" i="12"/>
  <c r="V93" i="12"/>
  <c r="B93" i="12"/>
  <c r="P97" i="12"/>
  <c r="F97" i="13" s="1"/>
  <c r="E97" i="13" s="1"/>
  <c r="S87" i="12"/>
  <c r="F87" i="12"/>
  <c r="F88" i="12" s="1"/>
  <c r="F89" i="12" s="1"/>
  <c r="F90" i="12" s="1"/>
  <c r="F91" i="12" s="1"/>
  <c r="F92" i="12" s="1"/>
  <c r="F93" i="12" s="1"/>
  <c r="I91" i="12"/>
  <c r="G82" i="12"/>
  <c r="E87" i="12"/>
  <c r="E88" i="12" s="1"/>
  <c r="E89" i="12" s="1"/>
  <c r="E90" i="12" s="1"/>
  <c r="E91" i="12" s="1"/>
  <c r="E92" i="12" s="1"/>
  <c r="E93" i="12" s="1"/>
  <c r="E94" i="12" s="1"/>
  <c r="B89" i="12"/>
  <c r="V91" i="12"/>
  <c r="H97" i="12"/>
  <c r="V97" i="12"/>
  <c r="B97" i="12"/>
  <c r="E85" i="13"/>
  <c r="I88" i="12"/>
  <c r="V90" i="12"/>
  <c r="I92" i="12"/>
  <c r="G94" i="12"/>
  <c r="G95" i="12" s="1"/>
  <c r="G96" i="12" s="1"/>
  <c r="G97" i="12" s="1"/>
  <c r="V94" i="12"/>
  <c r="H95" i="12"/>
  <c r="I96" i="12"/>
  <c r="S98" i="12"/>
  <c r="I99" i="12"/>
  <c r="I95" i="12"/>
  <c r="E98" i="12"/>
  <c r="E99" i="12" s="1"/>
  <c r="E100" i="12" s="1"/>
  <c r="E81" i="13"/>
  <c r="E90" i="13"/>
  <c r="E94" i="13"/>
  <c r="E98" i="13"/>
  <c r="E100" i="13"/>
  <c r="I90" i="12"/>
  <c r="B95" i="12"/>
  <c r="P96" i="12"/>
  <c r="F96" i="13" s="1"/>
  <c r="E96" i="13" s="1"/>
  <c r="F98" i="12"/>
  <c r="F99" i="12" s="1"/>
  <c r="F100" i="12" s="1"/>
  <c r="I100" i="12"/>
  <c r="E61" i="13"/>
  <c r="D77" i="13"/>
  <c r="E78" i="13"/>
  <c r="P76" i="12"/>
  <c r="F76" i="13" s="1"/>
  <c r="E76" i="13" s="1"/>
  <c r="D66" i="13"/>
  <c r="D59" i="13"/>
  <c r="E60" i="12"/>
  <c r="E61" i="12" s="1"/>
  <c r="S60" i="12"/>
  <c r="I61" i="12"/>
  <c r="V61" i="12"/>
  <c r="I64" i="12"/>
  <c r="V69" i="12"/>
  <c r="E59" i="12"/>
  <c r="F60" i="12"/>
  <c r="F61" i="12" s="1"/>
  <c r="B61" i="12"/>
  <c r="I63" i="12"/>
  <c r="B64" i="12"/>
  <c r="V64" i="12"/>
  <c r="V65" i="12"/>
  <c r="B69" i="12"/>
  <c r="H69" i="12"/>
  <c r="B70" i="12"/>
  <c r="H70" i="12"/>
  <c r="I70" i="12"/>
  <c r="F59" i="12"/>
  <c r="G60" i="12"/>
  <c r="G61" i="12" s="1"/>
  <c r="B63" i="12"/>
  <c r="B65" i="12"/>
  <c r="H65" i="12"/>
  <c r="E66" i="12"/>
  <c r="E67" i="12" s="1"/>
  <c r="E68" i="12" s="1"/>
  <c r="E69" i="12" s="1"/>
  <c r="E70" i="12" s="1"/>
  <c r="E71" i="12" s="1"/>
  <c r="E72" i="12" s="1"/>
  <c r="E73" i="12" s="1"/>
  <c r="B68" i="12"/>
  <c r="I69" i="12"/>
  <c r="P70" i="12"/>
  <c r="F70" i="13" s="1"/>
  <c r="E70" i="13" s="1"/>
  <c r="H72" i="12"/>
  <c r="V72" i="12"/>
  <c r="B72" i="12"/>
  <c r="G59" i="12"/>
  <c r="F63" i="13"/>
  <c r="E63" i="13" s="1"/>
  <c r="P65" i="12"/>
  <c r="F65" i="13" s="1"/>
  <c r="E65" i="13" s="1"/>
  <c r="H64" i="12"/>
  <c r="I65" i="12"/>
  <c r="S66" i="12"/>
  <c r="F66" i="12"/>
  <c r="F67" i="12" s="1"/>
  <c r="F68" i="12" s="1"/>
  <c r="F69" i="12" s="1"/>
  <c r="F70" i="12" s="1"/>
  <c r="F71" i="12" s="1"/>
  <c r="F72" i="12" s="1"/>
  <c r="F67" i="13"/>
  <c r="E67" i="13" s="1"/>
  <c r="P71" i="12"/>
  <c r="F71" i="13" s="1"/>
  <c r="E71" i="13" s="1"/>
  <c r="P72" i="12"/>
  <c r="H76" i="12"/>
  <c r="V76" i="12"/>
  <c r="B76" i="12"/>
  <c r="E64" i="13"/>
  <c r="I67" i="12"/>
  <c r="I71" i="12"/>
  <c r="G73" i="12"/>
  <c r="G74" i="12" s="1"/>
  <c r="G75" i="12" s="1"/>
  <c r="G76" i="12" s="1"/>
  <c r="V73" i="12"/>
  <c r="H74" i="12"/>
  <c r="I75" i="12"/>
  <c r="S77" i="12"/>
  <c r="I74" i="12"/>
  <c r="E77" i="12"/>
  <c r="E78" i="12" s="1"/>
  <c r="E79" i="12" s="1"/>
  <c r="E60" i="13"/>
  <c r="E69" i="13"/>
  <c r="E73" i="13"/>
  <c r="E77" i="13"/>
  <c r="E79" i="13"/>
  <c r="B74" i="12"/>
  <c r="P75" i="12"/>
  <c r="F75" i="13" s="1"/>
  <c r="E75" i="13" s="1"/>
  <c r="F77" i="12"/>
  <c r="F78" i="12" s="1"/>
  <c r="F79" i="12" s="1"/>
  <c r="I79" i="12"/>
  <c r="E57" i="13"/>
  <c r="D38" i="13"/>
  <c r="D56" i="13"/>
  <c r="D45" i="13"/>
  <c r="F46" i="13"/>
  <c r="E46" i="13" s="1"/>
  <c r="P50" i="12"/>
  <c r="F50" i="13" s="1"/>
  <c r="E50" i="13" s="1"/>
  <c r="P51" i="12"/>
  <c r="P55" i="12"/>
  <c r="P49" i="12"/>
  <c r="F49" i="13" s="1"/>
  <c r="E49" i="13" s="1"/>
  <c r="B49" i="12"/>
  <c r="H49" i="12"/>
  <c r="V49" i="12"/>
  <c r="I49" i="12"/>
  <c r="E43" i="13"/>
  <c r="F42" i="13"/>
  <c r="E42" i="13" s="1"/>
  <c r="P44" i="12"/>
  <c r="F44" i="13" s="1"/>
  <c r="E44" i="13" s="1"/>
  <c r="S45" i="12"/>
  <c r="E45" i="12"/>
  <c r="E46" i="12" s="1"/>
  <c r="E47" i="12" s="1"/>
  <c r="E48" i="12" s="1"/>
  <c r="E49" i="12" s="1"/>
  <c r="E50" i="12" s="1"/>
  <c r="E51" i="12" s="1"/>
  <c r="E52" i="12" s="1"/>
  <c r="G45" i="12"/>
  <c r="G46" i="12" s="1"/>
  <c r="G47" i="12" s="1"/>
  <c r="G48" i="12" s="1"/>
  <c r="G49" i="12" s="1"/>
  <c r="G50" i="12" s="1"/>
  <c r="G51" i="12" s="1"/>
  <c r="E39" i="12"/>
  <c r="E40" i="12" s="1"/>
  <c r="S39" i="12"/>
  <c r="I40" i="12"/>
  <c r="V40" i="12"/>
  <c r="I43" i="12"/>
  <c r="E38" i="12"/>
  <c r="F39" i="12"/>
  <c r="F40" i="12" s="1"/>
  <c r="B40" i="12"/>
  <c r="I42" i="12"/>
  <c r="B43" i="12"/>
  <c r="V43" i="12"/>
  <c r="V44" i="12"/>
  <c r="H47" i="12"/>
  <c r="B47" i="12"/>
  <c r="I47" i="12"/>
  <c r="H51" i="12"/>
  <c r="V51" i="12"/>
  <c r="B51" i="12"/>
  <c r="F38" i="12"/>
  <c r="G40" i="12"/>
  <c r="B42" i="12"/>
  <c r="B44" i="12"/>
  <c r="H44" i="12"/>
  <c r="H55" i="12"/>
  <c r="V55" i="12"/>
  <c r="B55" i="12"/>
  <c r="E40" i="13"/>
  <c r="I46" i="12"/>
  <c r="V48" i="12"/>
  <c r="I50" i="12"/>
  <c r="G52" i="12"/>
  <c r="G53" i="12" s="1"/>
  <c r="G54" i="12" s="1"/>
  <c r="G55" i="12" s="1"/>
  <c r="V52" i="12"/>
  <c r="H53" i="12"/>
  <c r="I54" i="12"/>
  <c r="S56" i="12"/>
  <c r="I57" i="12"/>
  <c r="I53" i="12"/>
  <c r="E56" i="12"/>
  <c r="E57" i="12" s="1"/>
  <c r="E58" i="12" s="1"/>
  <c r="E39" i="13"/>
  <c r="E48" i="13"/>
  <c r="E52" i="13"/>
  <c r="E56" i="13"/>
  <c r="E58" i="13"/>
  <c r="I48" i="12"/>
  <c r="B53" i="12"/>
  <c r="F53" i="12"/>
  <c r="F54" i="12" s="1"/>
  <c r="F55" i="12" s="1"/>
  <c r="P54" i="12"/>
  <c r="F54" i="13" s="1"/>
  <c r="E54" i="13" s="1"/>
  <c r="F56" i="12"/>
  <c r="F57" i="12" s="1"/>
  <c r="F58" i="12" s="1"/>
  <c r="I58" i="12"/>
  <c r="D17" i="13"/>
  <c r="E17" i="13"/>
  <c r="F110" i="13" l="1"/>
  <c r="E110" i="13" s="1"/>
  <c r="D104" i="12"/>
  <c r="D105" i="12" s="1"/>
  <c r="F104" i="12"/>
  <c r="F105" i="12" s="1"/>
  <c r="F106" i="12" s="1"/>
  <c r="F107" i="12" s="1"/>
  <c r="E104" i="12"/>
  <c r="E105" i="12" s="1"/>
  <c r="E106" i="12" s="1"/>
  <c r="E107" i="12" s="1"/>
  <c r="G104" i="12"/>
  <c r="G105" i="12" s="1"/>
  <c r="G106" i="12" s="1"/>
  <c r="G107" i="12" s="1"/>
  <c r="F83" i="12"/>
  <c r="F84" i="12" s="1"/>
  <c r="F85" i="12" s="1"/>
  <c r="F86" i="12" s="1"/>
  <c r="E83" i="12"/>
  <c r="E84" i="12" s="1"/>
  <c r="E85" i="12" s="1"/>
  <c r="E86" i="12" s="1"/>
  <c r="D83" i="12"/>
  <c r="D84" i="12" s="1"/>
  <c r="G83" i="12"/>
  <c r="G84" i="12" s="1"/>
  <c r="G85" i="12" s="1"/>
  <c r="G86" i="12" s="1"/>
  <c r="E62" i="12"/>
  <c r="E63" i="12" s="1"/>
  <c r="E64" i="12" s="1"/>
  <c r="E65" i="12" s="1"/>
  <c r="F62" i="12"/>
  <c r="F63" i="12" s="1"/>
  <c r="F64" i="12" s="1"/>
  <c r="F65" i="12" s="1"/>
  <c r="G62" i="12"/>
  <c r="G63" i="12" s="1"/>
  <c r="G64" i="12" s="1"/>
  <c r="G65" i="12" s="1"/>
  <c r="D62" i="12"/>
  <c r="D63" i="12" s="1"/>
  <c r="G41" i="12"/>
  <c r="G42" i="12" s="1"/>
  <c r="G43" i="12" s="1"/>
  <c r="G44" i="12" s="1"/>
  <c r="E41" i="12"/>
  <c r="E42" i="12" s="1"/>
  <c r="E43" i="12" s="1"/>
  <c r="E44" i="12" s="1"/>
  <c r="D41" i="12"/>
  <c r="D42" i="12" s="1"/>
  <c r="F41" i="12"/>
  <c r="F42" i="12" s="1"/>
  <c r="F43" i="12" s="1"/>
  <c r="F44" i="12" s="1"/>
  <c r="E116" i="12"/>
  <c r="F114" i="13"/>
  <c r="E114" i="13" s="1"/>
  <c r="F107" i="13"/>
  <c r="E107" i="13" s="1"/>
  <c r="E95" i="12"/>
  <c r="F89" i="13"/>
  <c r="E89" i="13" s="1"/>
  <c r="F86" i="13"/>
  <c r="E86" i="13" s="1"/>
  <c r="F93" i="13"/>
  <c r="E93" i="13" s="1"/>
  <c r="E74" i="12"/>
  <c r="D60" i="13"/>
  <c r="F72" i="13"/>
  <c r="E72" i="13" s="1"/>
  <c r="E53" i="12"/>
  <c r="F55" i="13"/>
  <c r="E55" i="13" s="1"/>
  <c r="F47" i="13"/>
  <c r="E47" i="13" s="1"/>
  <c r="D39" i="13"/>
  <c r="F51" i="13"/>
  <c r="E51" i="13" s="1"/>
  <c r="F16" i="13"/>
  <c r="A16" i="13"/>
  <c r="W16" i="12"/>
  <c r="A16" i="12"/>
  <c r="P36" i="12"/>
  <c r="F36" i="13" s="1"/>
  <c r="F37" i="13"/>
  <c r="A37" i="13"/>
  <c r="A36" i="13"/>
  <c r="F35" i="13"/>
  <c r="A35" i="13"/>
  <c r="A34" i="13"/>
  <c r="W37" i="12"/>
  <c r="A37" i="12"/>
  <c r="V37" i="12" s="1"/>
  <c r="W36" i="12"/>
  <c r="A36" i="12"/>
  <c r="V36" i="12" s="1"/>
  <c r="X35" i="12"/>
  <c r="W35" i="12"/>
  <c r="A35" i="12"/>
  <c r="W34" i="12"/>
  <c r="A34" i="12"/>
  <c r="P25" i="12"/>
  <c r="P32" i="12"/>
  <c r="P22" i="12"/>
  <c r="X83" i="12"/>
  <c r="X62" i="12"/>
  <c r="X41" i="12"/>
  <c r="X104" i="12"/>
  <c r="X20" i="12"/>
  <c r="P28" i="12" l="1"/>
  <c r="P26" i="12"/>
  <c r="D104" i="13"/>
  <c r="D41" i="13"/>
  <c r="D106" i="12"/>
  <c r="D107" i="12" s="1"/>
  <c r="D108" i="12" s="1"/>
  <c r="D109" i="12" s="1"/>
  <c r="D110" i="12" s="1"/>
  <c r="D85" i="12"/>
  <c r="D86" i="12" s="1"/>
  <c r="D87" i="12" s="1"/>
  <c r="D64" i="12"/>
  <c r="D65" i="12" s="1"/>
  <c r="D66" i="12" s="1"/>
  <c r="D67" i="12" s="1"/>
  <c r="D68" i="12" s="1"/>
  <c r="D43" i="12"/>
  <c r="D44" i="12" s="1"/>
  <c r="D45" i="12" s="1"/>
  <c r="D46" i="12" s="1"/>
  <c r="D47" i="12" s="1"/>
  <c r="D20" i="13"/>
  <c r="E117" i="12"/>
  <c r="E96" i="12"/>
  <c r="E75" i="12"/>
  <c r="E76" i="12" s="1"/>
  <c r="E54" i="12"/>
  <c r="P23" i="12"/>
  <c r="P33" i="12"/>
  <c r="F33" i="13" s="1"/>
  <c r="P29" i="12"/>
  <c r="P30" i="12"/>
  <c r="P34" i="12"/>
  <c r="F34" i="13" s="1"/>
  <c r="E34" i="13" s="1"/>
  <c r="H16" i="12"/>
  <c r="V16" i="12"/>
  <c r="I16" i="12"/>
  <c r="E16" i="13"/>
  <c r="B16" i="12"/>
  <c r="D35" i="13"/>
  <c r="I36" i="12"/>
  <c r="I37" i="12"/>
  <c r="E36" i="13"/>
  <c r="B36" i="12"/>
  <c r="B37" i="12"/>
  <c r="E35" i="13"/>
  <c r="E37" i="13"/>
  <c r="H36" i="12"/>
  <c r="H37" i="12"/>
  <c r="F18" i="13"/>
  <c r="A18" i="13"/>
  <c r="F19" i="13"/>
  <c r="A19" i="13"/>
  <c r="F15" i="13"/>
  <c r="A15" i="13"/>
  <c r="X18" i="12"/>
  <c r="D18" i="13" s="1"/>
  <c r="W18" i="12"/>
  <c r="A18" i="12"/>
  <c r="W19" i="12"/>
  <c r="A19" i="12"/>
  <c r="W15" i="12"/>
  <c r="A15" i="12"/>
  <c r="F32" i="13"/>
  <c r="A32" i="13"/>
  <c r="A33" i="13"/>
  <c r="F31" i="13"/>
  <c r="A31" i="13"/>
  <c r="F30" i="13"/>
  <c r="A30" i="13"/>
  <c r="W32" i="12"/>
  <c r="A32" i="12"/>
  <c r="V32" i="12" s="1"/>
  <c r="W33" i="12"/>
  <c r="A33" i="12"/>
  <c r="V33" i="12" s="1"/>
  <c r="X31" i="12"/>
  <c r="D31" i="13" s="1"/>
  <c r="W31" i="12"/>
  <c r="A31" i="12"/>
  <c r="V31" i="12" s="1"/>
  <c r="W30" i="12"/>
  <c r="A30" i="12"/>
  <c r="V30" i="12" s="1"/>
  <c r="I102" i="12" l="1"/>
  <c r="I81" i="12"/>
  <c r="I60" i="12"/>
  <c r="D88" i="12"/>
  <c r="D89" i="12" s="1"/>
  <c r="D90" i="12" s="1"/>
  <c r="D91" i="12" s="1"/>
  <c r="D92" i="12" s="1"/>
  <c r="D93" i="12" s="1"/>
  <c r="D94" i="12" s="1"/>
  <c r="D95" i="12" s="1"/>
  <c r="D96" i="12" s="1"/>
  <c r="D97" i="12" s="1"/>
  <c r="D98" i="12" s="1"/>
  <c r="D99" i="12" s="1"/>
  <c r="D100" i="12" s="1"/>
  <c r="I39" i="12"/>
  <c r="E118" i="12"/>
  <c r="H115" i="12" s="1"/>
  <c r="D111" i="12"/>
  <c r="D112" i="12" s="1"/>
  <c r="D113" i="12" s="1"/>
  <c r="D114" i="12" s="1"/>
  <c r="D115" i="12" s="1"/>
  <c r="D116" i="12" s="1"/>
  <c r="D117" i="12" s="1"/>
  <c r="D118" i="12" s="1"/>
  <c r="D119" i="12" s="1"/>
  <c r="E97" i="12"/>
  <c r="H94" i="12" s="1"/>
  <c r="H73" i="12"/>
  <c r="D69" i="12"/>
  <c r="D70" i="12" s="1"/>
  <c r="D71" i="12" s="1"/>
  <c r="D72" i="12" s="1"/>
  <c r="D73" i="12" s="1"/>
  <c r="D74" i="12" s="1"/>
  <c r="D75" i="12" s="1"/>
  <c r="D76" i="12" s="1"/>
  <c r="D77" i="12" s="1"/>
  <c r="E55" i="12"/>
  <c r="H52" i="12" s="1"/>
  <c r="D48" i="12"/>
  <c r="D49" i="12" s="1"/>
  <c r="D50" i="12" s="1"/>
  <c r="D51" i="12" s="1"/>
  <c r="D52" i="12" s="1"/>
  <c r="D53" i="12" s="1"/>
  <c r="D54" i="12" s="1"/>
  <c r="D55" i="12" s="1"/>
  <c r="D56" i="12" s="1"/>
  <c r="C35" i="13"/>
  <c r="C18" i="13"/>
  <c r="E33" i="13"/>
  <c r="E19" i="13"/>
  <c r="H15" i="12"/>
  <c r="V15" i="12"/>
  <c r="H19" i="12"/>
  <c r="V19" i="12"/>
  <c r="I15" i="12"/>
  <c r="I19" i="12"/>
  <c r="E15" i="13"/>
  <c r="E18" i="13"/>
  <c r="B15" i="12"/>
  <c r="B19" i="12"/>
  <c r="I30" i="12"/>
  <c r="I33" i="12"/>
  <c r="E30" i="13"/>
  <c r="B30" i="12"/>
  <c r="B33" i="12"/>
  <c r="E31" i="13"/>
  <c r="E32" i="13"/>
  <c r="H30" i="12"/>
  <c r="H33" i="12"/>
  <c r="I87" i="12" l="1"/>
  <c r="I108" i="12"/>
  <c r="D120" i="12"/>
  <c r="D78" i="12"/>
  <c r="D57" i="12"/>
  <c r="C31" i="13"/>
  <c r="D79" i="12" l="1"/>
  <c r="D58" i="12"/>
  <c r="D32" i="13"/>
  <c r="D33" i="13"/>
  <c r="D30" i="13"/>
  <c r="C32" i="13" l="1"/>
  <c r="C33" i="13"/>
  <c r="C30" i="13"/>
  <c r="F26" i="13" l="1"/>
  <c r="A26" i="13"/>
  <c r="W26" i="12"/>
  <c r="A26" i="12"/>
  <c r="V26" i="12" s="1"/>
  <c r="I26" i="12" l="1"/>
  <c r="E26" i="13"/>
  <c r="B26" i="12"/>
  <c r="H26" i="12"/>
  <c r="C26" i="13" l="1"/>
  <c r="F25" i="13" l="1"/>
  <c r="A25" i="13"/>
  <c r="F24" i="13"/>
  <c r="A24" i="13"/>
  <c r="F23" i="13"/>
  <c r="A23" i="13"/>
  <c r="F22" i="13"/>
  <c r="A22" i="13"/>
  <c r="F21" i="13"/>
  <c r="A21" i="13"/>
  <c r="W25" i="12"/>
  <c r="A25" i="12"/>
  <c r="V25" i="12" s="1"/>
  <c r="X24" i="12"/>
  <c r="D24" i="13" s="1"/>
  <c r="W24" i="12"/>
  <c r="A24" i="12"/>
  <c r="W23" i="12"/>
  <c r="A23" i="12"/>
  <c r="V23" i="12" s="1"/>
  <c r="W22" i="12"/>
  <c r="A22" i="12"/>
  <c r="V22" i="12" s="1"/>
  <c r="W21" i="12"/>
  <c r="A21" i="12"/>
  <c r="V21" i="12" s="1"/>
  <c r="F29" i="13"/>
  <c r="A29" i="13"/>
  <c r="F28" i="13"/>
  <c r="A28" i="13"/>
  <c r="F27" i="13"/>
  <c r="A27" i="13"/>
  <c r="W29" i="12"/>
  <c r="A29" i="12"/>
  <c r="V29" i="12" s="1"/>
  <c r="W28" i="12"/>
  <c r="A28" i="12"/>
  <c r="V28" i="12" s="1"/>
  <c r="W27" i="12"/>
  <c r="A27" i="12"/>
  <c r="V27" i="12" s="1"/>
  <c r="D29" i="13" l="1"/>
  <c r="D28" i="13"/>
  <c r="D27" i="13"/>
  <c r="D25" i="13"/>
  <c r="E22" i="13"/>
  <c r="E25" i="13"/>
  <c r="B21" i="12"/>
  <c r="B22" i="12"/>
  <c r="B23" i="12"/>
  <c r="B25" i="12"/>
  <c r="I22" i="12"/>
  <c r="I23" i="12"/>
  <c r="I25" i="12"/>
  <c r="E21" i="13"/>
  <c r="E23" i="13"/>
  <c r="E24" i="13"/>
  <c r="I21" i="12"/>
  <c r="H21" i="12"/>
  <c r="H22" i="12"/>
  <c r="H23" i="12"/>
  <c r="H25" i="12"/>
  <c r="E29" i="13"/>
  <c r="I28" i="12"/>
  <c r="E27" i="13"/>
  <c r="B27" i="12"/>
  <c r="B28" i="12"/>
  <c r="B29" i="12"/>
  <c r="E28" i="13"/>
  <c r="I27" i="12"/>
  <c r="I29" i="12"/>
  <c r="H27" i="12"/>
  <c r="H28" i="12"/>
  <c r="H29" i="12"/>
  <c r="C24" i="13" l="1"/>
  <c r="C23" i="13"/>
  <c r="C25" i="13"/>
  <c r="C22" i="13"/>
  <c r="C21" i="13"/>
  <c r="C28" i="13"/>
  <c r="C29" i="13"/>
  <c r="C27" i="13"/>
  <c r="D26" i="13" l="1"/>
  <c r="D23" i="13"/>
  <c r="D22" i="13"/>
  <c r="D21" i="13"/>
  <c r="F11" i="13" l="1"/>
  <c r="F14" i="13"/>
  <c r="F13" i="13"/>
  <c r="A14" i="13" l="1"/>
  <c r="E14" i="13" s="1"/>
  <c r="W14" i="12"/>
  <c r="A14" i="12"/>
  <c r="H14" i="12" s="1"/>
  <c r="I14" i="12" l="1"/>
  <c r="V14" i="12"/>
  <c r="B14" i="12"/>
  <c r="E7" i="13" l="1"/>
  <c r="P9" i="12"/>
  <c r="F10" i="13"/>
  <c r="G10" i="13" s="1"/>
  <c r="H10" i="13" s="1"/>
  <c r="I10" i="13" s="1"/>
  <c r="J10" i="13" s="1"/>
  <c r="K10" i="13" s="1"/>
  <c r="L10" i="13" s="1"/>
  <c r="M10" i="13" s="1"/>
  <c r="N10" i="13" s="1"/>
  <c r="O10" i="13" s="1"/>
  <c r="U10" i="13"/>
  <c r="AC9" i="11"/>
  <c r="AC10" i="11" s="1"/>
  <c r="K129" i="12"/>
  <c r="X13" i="12"/>
  <c r="W13" i="12"/>
  <c r="N24" i="17"/>
  <c r="N26" i="17" s="1"/>
  <c r="Q224" i="16"/>
  <c r="Q223" i="16"/>
  <c r="P2" i="11"/>
  <c r="A20" i="11"/>
  <c r="A23" i="11" s="1"/>
  <c r="A26" i="11" s="1"/>
  <c r="Q10" i="12"/>
  <c r="Q11" i="17"/>
  <c r="M33" i="17" s="1"/>
  <c r="N8" i="11"/>
  <c r="O9" i="11"/>
  <c r="P9" i="11" s="1"/>
  <c r="O10" i="11"/>
  <c r="A13" i="11"/>
  <c r="K13" i="11" s="1"/>
  <c r="N11" i="11" s="1"/>
  <c r="D17" i="11"/>
  <c r="L83" i="11"/>
  <c r="K135" i="12"/>
  <c r="B126" i="13" s="1"/>
  <c r="A11" i="13"/>
  <c r="E11" i="13" s="1"/>
  <c r="X11" i="12"/>
  <c r="O11" i="12" s="1"/>
  <c r="D11" i="13" s="1"/>
  <c r="J12" i="12"/>
  <c r="A12" i="13" s="1"/>
  <c r="N12" i="12"/>
  <c r="U12" i="12" s="1"/>
  <c r="A13" i="13"/>
  <c r="E13" i="13" s="1"/>
  <c r="K132" i="12"/>
  <c r="B123" i="13" s="1"/>
  <c r="N2" i="12"/>
  <c r="Y10" i="12"/>
  <c r="Z10" i="12"/>
  <c r="A11" i="12"/>
  <c r="G11" i="12" s="1"/>
  <c r="W11" i="12"/>
  <c r="A13" i="12"/>
  <c r="C13" i="13" s="1"/>
  <c r="N1" i="17"/>
  <c r="C2" i="17"/>
  <c r="A3" i="17"/>
  <c r="C3" i="17" s="1"/>
  <c r="I5" i="17"/>
  <c r="K5" i="17"/>
  <c r="C8" i="17"/>
  <c r="I8" i="17"/>
  <c r="C9" i="17"/>
  <c r="C10" i="17"/>
  <c r="C11" i="17"/>
  <c r="C12" i="17"/>
  <c r="C13" i="17"/>
  <c r="C14" i="17"/>
  <c r="A15" i="17"/>
  <c r="C15" i="17" s="1"/>
  <c r="A17" i="17"/>
  <c r="C17" i="17" s="1"/>
  <c r="I18" i="17"/>
  <c r="M18" i="17"/>
  <c r="I19" i="17"/>
  <c r="M19" i="17"/>
  <c r="I20" i="17"/>
  <c r="M20" i="17"/>
  <c r="C21" i="17"/>
  <c r="I21" i="17"/>
  <c r="M21" i="17"/>
  <c r="A22" i="17"/>
  <c r="C22" i="17" s="1"/>
  <c r="I22" i="17"/>
  <c r="M22" i="17"/>
  <c r="C27" i="17"/>
  <c r="A28" i="17"/>
  <c r="A29" i="17" s="1"/>
  <c r="A32" i="17" s="1"/>
  <c r="I29" i="17"/>
  <c r="M32" i="17"/>
  <c r="I35" i="17"/>
  <c r="C38" i="17"/>
  <c r="A39" i="17"/>
  <c r="C39" i="17" s="1"/>
  <c r="A40" i="17"/>
  <c r="A41" i="17" s="1"/>
  <c r="C44" i="17"/>
  <c r="A45" i="17"/>
  <c r="A46" i="17"/>
  <c r="C46" i="17" s="1"/>
  <c r="C45" i="17"/>
  <c r="J47" i="17"/>
  <c r="J48" i="17"/>
  <c r="J49" i="17"/>
  <c r="J50" i="17"/>
  <c r="A55" i="16"/>
  <c r="G55" i="16" s="1"/>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W38" i="16"/>
  <c r="V38" i="16"/>
  <c r="U38" i="16"/>
  <c r="X38" i="16"/>
  <c r="A29" i="11" l="1"/>
  <c r="A47" i="17"/>
  <c r="A48" i="17" s="1"/>
  <c r="C40" i="17"/>
  <c r="C28" i="17"/>
  <c r="G57" i="16"/>
  <c r="N25" i="17"/>
  <c r="O25" i="17" s="1"/>
  <c r="I37" i="17"/>
  <c r="L32" i="17"/>
  <c r="A49" i="17"/>
  <c r="C49" i="17" s="1"/>
  <c r="C48" i="17"/>
  <c r="A18" i="17"/>
  <c r="C47" i="17"/>
  <c r="A4" i="17"/>
  <c r="A23" i="17"/>
  <c r="D11" i="12"/>
  <c r="V11" i="12"/>
  <c r="F11" i="12"/>
  <c r="H11" i="12"/>
  <c r="E11" i="12"/>
  <c r="C11" i="12"/>
  <c r="B11" i="12"/>
  <c r="C13" i="12"/>
  <c r="C14" i="12" s="1"/>
  <c r="C15" i="12" s="1"/>
  <c r="V13" i="12"/>
  <c r="F13" i="12"/>
  <c r="L86" i="11"/>
  <c r="O42" i="17"/>
  <c r="L11" i="11"/>
  <c r="A5" i="12"/>
  <c r="I11" i="12"/>
  <c r="G13" i="12"/>
  <c r="S13" i="12"/>
  <c r="E13" i="12"/>
  <c r="D13" i="12"/>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A32" i="11" l="1"/>
  <c r="V17" i="12"/>
  <c r="N27" i="17"/>
  <c r="A5" i="17"/>
  <c r="C4" i="17"/>
  <c r="A19" i="17"/>
  <c r="C18" i="17"/>
  <c r="C23" i="17"/>
  <c r="A24" i="17"/>
  <c r="C20" i="1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V18" i="12" l="1"/>
  <c r="V34" i="12" s="1"/>
  <c r="A35" i="11"/>
  <c r="Z104" i="12"/>
  <c r="S104" i="12" s="1"/>
  <c r="T104" i="12" s="1"/>
  <c r="U104" i="12" s="1"/>
  <c r="Z83" i="12"/>
  <c r="S83" i="12" s="1"/>
  <c r="T83" i="12" s="1"/>
  <c r="U83" i="12" s="1"/>
  <c r="Z62" i="12"/>
  <c r="S62" i="12" s="1"/>
  <c r="T62" i="12" s="1"/>
  <c r="U62" i="12" s="1"/>
  <c r="Z41" i="12"/>
  <c r="S41" i="12" s="1"/>
  <c r="T41" i="12" s="1"/>
  <c r="U41" i="12" s="1"/>
  <c r="Z20" i="12"/>
  <c r="S20" i="12" s="1"/>
  <c r="T20" i="12" s="1"/>
  <c r="U20" i="12" s="1"/>
  <c r="Z117" i="12"/>
  <c r="S117" i="12" s="1"/>
  <c r="T117" i="12" s="1"/>
  <c r="Z113" i="12"/>
  <c r="S113" i="12" s="1"/>
  <c r="T113" i="12" s="1"/>
  <c r="Z109" i="12"/>
  <c r="S109" i="12" s="1"/>
  <c r="T109" i="12" s="1"/>
  <c r="Z120" i="12"/>
  <c r="Z114" i="12"/>
  <c r="S114" i="12" s="1"/>
  <c r="T114" i="12" s="1"/>
  <c r="Z118" i="12"/>
  <c r="Z115" i="12"/>
  <c r="Z111" i="12"/>
  <c r="S111" i="12" s="1"/>
  <c r="T111" i="12" s="1"/>
  <c r="Z107" i="12"/>
  <c r="S107" i="12" s="1"/>
  <c r="T107" i="12" s="1"/>
  <c r="Z116" i="12"/>
  <c r="S116" i="12" s="1"/>
  <c r="T116" i="12" s="1"/>
  <c r="Z112" i="12"/>
  <c r="S112" i="12" s="1"/>
  <c r="T112" i="12" s="1"/>
  <c r="Z106" i="12"/>
  <c r="S106" i="12" s="1"/>
  <c r="T106" i="12" s="1"/>
  <c r="Z103" i="12"/>
  <c r="Z102" i="12"/>
  <c r="Z119" i="12"/>
  <c r="Z110" i="12"/>
  <c r="S110" i="12" s="1"/>
  <c r="T110" i="12" s="1"/>
  <c r="Z105" i="12"/>
  <c r="S105" i="12" s="1"/>
  <c r="T105" i="12" s="1"/>
  <c r="Z101" i="12"/>
  <c r="Z108" i="12"/>
  <c r="Z100" i="12"/>
  <c r="Z96" i="12"/>
  <c r="S96" i="12" s="1"/>
  <c r="T96" i="12" s="1"/>
  <c r="Z92" i="12"/>
  <c r="S92" i="12" s="1"/>
  <c r="T92" i="12" s="1"/>
  <c r="Z99" i="12"/>
  <c r="Z93" i="12"/>
  <c r="S93" i="12" s="1"/>
  <c r="T93" i="12" s="1"/>
  <c r="Z97" i="12"/>
  <c r="Z94" i="12"/>
  <c r="Z90" i="12"/>
  <c r="S90" i="12" s="1"/>
  <c r="T90" i="12" s="1"/>
  <c r="Z86" i="12"/>
  <c r="S86" i="12" s="1"/>
  <c r="T86" i="12" s="1"/>
  <c r="Z95" i="12"/>
  <c r="S95" i="12" s="1"/>
  <c r="T95" i="12" s="1"/>
  <c r="Z87" i="12"/>
  <c r="Z91" i="12"/>
  <c r="S91" i="12" s="1"/>
  <c r="T91" i="12" s="1"/>
  <c r="Z88" i="12"/>
  <c r="S88" i="12" s="1"/>
  <c r="T88" i="12" s="1"/>
  <c r="Z89" i="12"/>
  <c r="S89" i="12" s="1"/>
  <c r="T89" i="12" s="1"/>
  <c r="Z98" i="12"/>
  <c r="Z85" i="12"/>
  <c r="S85" i="12" s="1"/>
  <c r="T85" i="12" s="1"/>
  <c r="Z82" i="12"/>
  <c r="Z84" i="12"/>
  <c r="S84" i="12" s="1"/>
  <c r="T84" i="12" s="1"/>
  <c r="Z81" i="12"/>
  <c r="Z80" i="12"/>
  <c r="Z79" i="12"/>
  <c r="Z75" i="12"/>
  <c r="S75" i="12" s="1"/>
  <c r="T75" i="12" s="1"/>
  <c r="Z71" i="12"/>
  <c r="S71" i="12" s="1"/>
  <c r="T71" i="12" s="1"/>
  <c r="Z78" i="12"/>
  <c r="Z72" i="12"/>
  <c r="S72" i="12" s="1"/>
  <c r="T72" i="12" s="1"/>
  <c r="Z76" i="12"/>
  <c r="Z73" i="12"/>
  <c r="Z69" i="12"/>
  <c r="S69" i="12" s="1"/>
  <c r="T69" i="12" s="1"/>
  <c r="Z65" i="12"/>
  <c r="S65" i="12" s="1"/>
  <c r="T65" i="12" s="1"/>
  <c r="Z74" i="12"/>
  <c r="S74" i="12" s="1"/>
  <c r="T74" i="12" s="1"/>
  <c r="Z70" i="12"/>
  <c r="S70" i="12" s="1"/>
  <c r="T70" i="12" s="1"/>
  <c r="Z68" i="12"/>
  <c r="S68" i="12" s="1"/>
  <c r="T68" i="12" s="1"/>
  <c r="Z63" i="12"/>
  <c r="S63" i="12" s="1"/>
  <c r="T63" i="12" s="1"/>
  <c r="Z60" i="12"/>
  <c r="Z59" i="12"/>
  <c r="Z66" i="12"/>
  <c r="Z77" i="12"/>
  <c r="Z67" i="12"/>
  <c r="S67" i="12" s="1"/>
  <c r="T67" i="12" s="1"/>
  <c r="Z64" i="12"/>
  <c r="S64" i="12" s="1"/>
  <c r="T64" i="12" s="1"/>
  <c r="Z61" i="12"/>
  <c r="Z58" i="12"/>
  <c r="Z54" i="12"/>
  <c r="S54" i="12" s="1"/>
  <c r="T54" i="12" s="1"/>
  <c r="Z50" i="12"/>
  <c r="S50" i="12" s="1"/>
  <c r="T50" i="12" s="1"/>
  <c r="Z46" i="12"/>
  <c r="S46" i="12" s="1"/>
  <c r="T46" i="12" s="1"/>
  <c r="Z57" i="12"/>
  <c r="Z51" i="12"/>
  <c r="S51" i="12" s="1"/>
  <c r="T51" i="12" s="1"/>
  <c r="Z55" i="12"/>
  <c r="Z52" i="12"/>
  <c r="Z48" i="12"/>
  <c r="S48" i="12" s="1"/>
  <c r="T48" i="12" s="1"/>
  <c r="Z44" i="12"/>
  <c r="S44" i="12" s="1"/>
  <c r="T44" i="12" s="1"/>
  <c r="Z53" i="12"/>
  <c r="S53" i="12" s="1"/>
  <c r="T53" i="12" s="1"/>
  <c r="Z45" i="12"/>
  <c r="Z49" i="12"/>
  <c r="S49" i="12" s="1"/>
  <c r="T49" i="12" s="1"/>
  <c r="Z56" i="12"/>
  <c r="Z43" i="12"/>
  <c r="S43" i="12" s="1"/>
  <c r="T43" i="12" s="1"/>
  <c r="Z40" i="12"/>
  <c r="Z39" i="12"/>
  <c r="Z38" i="12"/>
  <c r="Z42" i="12"/>
  <c r="S42" i="12" s="1"/>
  <c r="T42" i="12" s="1"/>
  <c r="Z47" i="12"/>
  <c r="S47" i="12" s="1"/>
  <c r="T47" i="12" s="1"/>
  <c r="Z17" i="12"/>
  <c r="S17" i="12" s="1"/>
  <c r="Z16" i="12"/>
  <c r="Z37" i="12"/>
  <c r="Z36" i="12"/>
  <c r="Z35" i="12"/>
  <c r="S35" i="12" s="1"/>
  <c r="Z34" i="12"/>
  <c r="Z18" i="12"/>
  <c r="S18" i="12" s="1"/>
  <c r="Z19" i="12"/>
  <c r="Z15" i="12"/>
  <c r="Z32" i="12"/>
  <c r="S32" i="12" s="1"/>
  <c r="Z33" i="12"/>
  <c r="S33" i="12" s="1"/>
  <c r="T33" i="12" s="1"/>
  <c r="Z31" i="12"/>
  <c r="S31" i="12" s="1"/>
  <c r="Z30" i="12"/>
  <c r="S30" i="12" s="1"/>
  <c r="T30" i="12" s="1"/>
  <c r="Z26" i="12"/>
  <c r="S26" i="12" s="1"/>
  <c r="T26" i="12" s="1"/>
  <c r="M21" i="11"/>
  <c r="Z25" i="12"/>
  <c r="S25" i="12" s="1"/>
  <c r="T25" i="12" s="1"/>
  <c r="Z24" i="12"/>
  <c r="S24" i="12" s="1"/>
  <c r="Z23" i="12"/>
  <c r="S23" i="12" s="1"/>
  <c r="T23" i="12" s="1"/>
  <c r="Z22" i="12"/>
  <c r="S22" i="12" s="1"/>
  <c r="T22" i="12" s="1"/>
  <c r="Z21" i="12"/>
  <c r="S21" i="12" s="1"/>
  <c r="T21" i="12" s="1"/>
  <c r="Z29" i="12"/>
  <c r="S29" i="12" s="1"/>
  <c r="T29" i="12" s="1"/>
  <c r="Z28" i="12"/>
  <c r="S28" i="12" s="1"/>
  <c r="T28" i="12" s="1"/>
  <c r="Z27" i="12"/>
  <c r="S27" i="12" s="1"/>
  <c r="T27" i="12" s="1"/>
  <c r="G20" i="11"/>
  <c r="S108" i="16"/>
  <c r="Z13" i="12"/>
  <c r="Z11" i="12"/>
  <c r="S11" i="12" s="1"/>
  <c r="T11" i="12" s="1"/>
  <c r="T227" i="16"/>
  <c r="Z14" i="12"/>
  <c r="C19" i="17"/>
  <c r="A20" i="17"/>
  <c r="C20" i="17" s="1"/>
  <c r="C24" i="17"/>
  <c r="A25" i="17"/>
  <c r="C5" i="17"/>
  <c r="A6" i="17"/>
  <c r="F14" i="12"/>
  <c r="F15" i="12" s="1"/>
  <c r="G14" i="12"/>
  <c r="G15" i="12" s="1"/>
  <c r="E14" i="12"/>
  <c r="E15" i="12" s="1"/>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V24" i="12" l="1"/>
  <c r="C23" i="11" s="1"/>
  <c r="G23" i="11" s="1"/>
  <c r="M24" i="11"/>
  <c r="C26" i="11"/>
  <c r="G26" i="11" s="1"/>
  <c r="A38" i="11"/>
  <c r="E18" i="12"/>
  <c r="E16" i="12"/>
  <c r="E17" i="12" s="1"/>
  <c r="F18" i="12"/>
  <c r="F16" i="12"/>
  <c r="F17" i="12" s="1"/>
  <c r="D14" i="12"/>
  <c r="D15" i="12" s="1"/>
  <c r="C25" i="17"/>
  <c r="A26" i="17"/>
  <c r="C26" i="17" s="1"/>
  <c r="C6" i="17"/>
  <c r="A7" i="17"/>
  <c r="C7" i="17" s="1"/>
  <c r="C29" i="11" l="1"/>
  <c r="H29" i="11" s="1"/>
  <c r="M27" i="11"/>
  <c r="V35" i="12"/>
  <c r="V38" i="12" s="1"/>
  <c r="H23" i="11"/>
  <c r="E23" i="11"/>
  <c r="E26" i="11" s="1"/>
  <c r="E29" i="11" s="1"/>
  <c r="F23" i="11"/>
  <c r="F26" i="11" s="1"/>
  <c r="B23" i="11"/>
  <c r="H26" i="11"/>
  <c r="B26" i="11"/>
  <c r="U24" i="11" s="1"/>
  <c r="M33" i="11"/>
  <c r="A41" i="11"/>
  <c r="F19" i="12"/>
  <c r="E19" i="12"/>
  <c r="D16" i="12"/>
  <c r="D17" i="12" s="1"/>
  <c r="D18" i="12" s="1"/>
  <c r="D19" i="12" s="1"/>
  <c r="K15" i="12"/>
  <c r="B15" i="13" s="1"/>
  <c r="G18" i="12"/>
  <c r="G19" i="12" s="1"/>
  <c r="B20" i="11"/>
  <c r="Q20" i="17"/>
  <c r="K14" i="12"/>
  <c r="B14" i="13" s="1"/>
  <c r="P18" i="17"/>
  <c r="R26" i="17"/>
  <c r="P22" i="17"/>
  <c r="P19" i="17"/>
  <c r="P21" i="17"/>
  <c r="R22" i="17"/>
  <c r="Q26" i="17"/>
  <c r="Q22" i="17"/>
  <c r="R19" i="17"/>
  <c r="P26" i="17"/>
  <c r="O26" i="17" s="1"/>
  <c r="O27" i="17" s="1"/>
  <c r="R21" i="17"/>
  <c r="R18" i="17"/>
  <c r="Q18" i="17"/>
  <c r="P20" i="17"/>
  <c r="R20" i="17"/>
  <c r="Q21" i="17"/>
  <c r="Q19" i="17"/>
  <c r="V39" i="12" l="1"/>
  <c r="M36" i="11" s="1"/>
  <c r="G29" i="11"/>
  <c r="C35" i="11"/>
  <c r="F35" i="11" s="1"/>
  <c r="F29" i="11"/>
  <c r="J26" i="11" s="1"/>
  <c r="C32" i="11"/>
  <c r="B29" i="11" s="1"/>
  <c r="AC27" i="11" s="1"/>
  <c r="AC28" i="11" s="1"/>
  <c r="M30" i="11"/>
  <c r="T24" i="11"/>
  <c r="P25" i="11"/>
  <c r="Q25" i="11" s="1"/>
  <c r="V24" i="11"/>
  <c r="AC24" i="11"/>
  <c r="AC25" i="11" s="1"/>
  <c r="W24" i="11"/>
  <c r="S24" i="11"/>
  <c r="V45" i="12"/>
  <c r="M39" i="11" s="1"/>
  <c r="A44" i="11"/>
  <c r="D20" i="12"/>
  <c r="D21" i="12" s="1"/>
  <c r="D22" i="12" s="1"/>
  <c r="D23" i="12" s="1"/>
  <c r="D24" i="12" s="1"/>
  <c r="D25" i="12" s="1"/>
  <c r="D26" i="12" s="1"/>
  <c r="D27" i="12" s="1"/>
  <c r="D28" i="12" s="1"/>
  <c r="D29" i="12" s="1"/>
  <c r="D30" i="12" s="1"/>
  <c r="D31" i="12" s="1"/>
  <c r="F20" i="12"/>
  <c r="F21" i="12" s="1"/>
  <c r="F22" i="12" s="1"/>
  <c r="F23" i="12" s="1"/>
  <c r="F24" i="12" s="1"/>
  <c r="F25" i="12" s="1"/>
  <c r="F26" i="12" s="1"/>
  <c r="F27" i="12" s="1"/>
  <c r="F28" i="12" s="1"/>
  <c r="F29" i="12" s="1"/>
  <c r="F30" i="12" s="1"/>
  <c r="F31" i="12" s="1"/>
  <c r="E20" i="12"/>
  <c r="E21" i="12" s="1"/>
  <c r="E22" i="12" s="1"/>
  <c r="E23" i="12" s="1"/>
  <c r="E24" i="12" s="1"/>
  <c r="E25" i="12" s="1"/>
  <c r="E26" i="12" s="1"/>
  <c r="E27" i="12" s="1"/>
  <c r="E28" i="12" s="1"/>
  <c r="E29" i="12" s="1"/>
  <c r="E30" i="12" s="1"/>
  <c r="E31" i="12" s="1"/>
  <c r="G16" i="12"/>
  <c r="G17" i="12" s="1"/>
  <c r="G20" i="12"/>
  <c r="V27" i="17"/>
  <c r="T16" i="17" s="1"/>
  <c r="H35" i="11" l="1"/>
  <c r="H32" i="11"/>
  <c r="C38" i="11"/>
  <c r="B35" i="11" s="1"/>
  <c r="E32" i="11"/>
  <c r="E35" i="11" s="1"/>
  <c r="G35" i="11"/>
  <c r="G32" i="11"/>
  <c r="F32" i="11"/>
  <c r="I26" i="11" s="1"/>
  <c r="D26" i="11" s="1"/>
  <c r="W27" i="11"/>
  <c r="U27" i="11"/>
  <c r="I32" i="11"/>
  <c r="V27" i="11"/>
  <c r="P27" i="11"/>
  <c r="P28" i="11" s="1"/>
  <c r="Q28" i="11" s="1"/>
  <c r="B32" i="11"/>
  <c r="T30" i="11" s="1"/>
  <c r="T27" i="11"/>
  <c r="S27" i="11"/>
  <c r="R25" i="11"/>
  <c r="S25" i="11" s="1"/>
  <c r="C41" i="11"/>
  <c r="H41" i="11" s="1"/>
  <c r="V56" i="12"/>
  <c r="V59" i="12" s="1"/>
  <c r="A47" i="11"/>
  <c r="G21" i="12"/>
  <c r="J20" i="11"/>
  <c r="H38" i="11" l="1"/>
  <c r="F38" i="11"/>
  <c r="F41" i="11" s="1"/>
  <c r="J38" i="11" s="1"/>
  <c r="G38" i="11"/>
  <c r="E38" i="11"/>
  <c r="P30" i="11"/>
  <c r="P31" i="11" s="1"/>
  <c r="V30" i="11"/>
  <c r="Q30" i="11"/>
  <c r="S30" i="11"/>
  <c r="AC30" i="11"/>
  <c r="AC31" i="11" s="1"/>
  <c r="W30" i="11"/>
  <c r="U30" i="11"/>
  <c r="J23" i="11"/>
  <c r="J29" i="11"/>
  <c r="B38" i="11"/>
  <c r="V36" i="11" s="1"/>
  <c r="I29" i="11"/>
  <c r="E41" i="11"/>
  <c r="V60" i="12"/>
  <c r="V66" i="12" s="1"/>
  <c r="V77" i="12" s="1"/>
  <c r="C44" i="11"/>
  <c r="B41" i="11" s="1"/>
  <c r="P39" i="11" s="1"/>
  <c r="P40" i="11" s="1"/>
  <c r="M42" i="11"/>
  <c r="G41" i="11"/>
  <c r="R28" i="11"/>
  <c r="A50" i="11"/>
  <c r="M45" i="11"/>
  <c r="C47" i="11"/>
  <c r="T25" i="11"/>
  <c r="D32" i="12"/>
  <c r="D33" i="12" s="1"/>
  <c r="G22" i="12"/>
  <c r="Q31" i="11" l="1"/>
  <c r="R31" i="11" s="1"/>
  <c r="D29" i="11"/>
  <c r="AC36" i="11"/>
  <c r="AC37" i="11" s="1"/>
  <c r="W36" i="11"/>
  <c r="U36" i="11"/>
  <c r="T36" i="11"/>
  <c r="S36" i="11"/>
  <c r="P37" i="11"/>
  <c r="Q37" i="11" s="1"/>
  <c r="R37" i="11" s="1"/>
  <c r="W39" i="11"/>
  <c r="T39" i="11"/>
  <c r="G44" i="11"/>
  <c r="AC39" i="11"/>
  <c r="AC40" i="11" s="1"/>
  <c r="V39" i="11"/>
  <c r="U39" i="11"/>
  <c r="H44" i="11"/>
  <c r="F44" i="11"/>
  <c r="J41" i="11" s="1"/>
  <c r="V80" i="12"/>
  <c r="V81" i="12" s="1"/>
  <c r="V87" i="12" s="1"/>
  <c r="V98" i="12" s="1"/>
  <c r="E44" i="11"/>
  <c r="E47" i="11" s="1"/>
  <c r="Q40" i="11"/>
  <c r="R40" i="11" s="1"/>
  <c r="F47" i="11"/>
  <c r="H47" i="11"/>
  <c r="G47" i="11"/>
  <c r="U25" i="11"/>
  <c r="S28" i="11"/>
  <c r="M48" i="11"/>
  <c r="C50" i="11"/>
  <c r="A53" i="11"/>
  <c r="B44" i="11"/>
  <c r="S31" i="11"/>
  <c r="D34" i="12"/>
  <c r="G23" i="12"/>
  <c r="G24" i="12"/>
  <c r="I38" i="11" l="1"/>
  <c r="D38" i="11" s="1"/>
  <c r="I41" i="11"/>
  <c r="D41" i="11" s="1"/>
  <c r="C53" i="11"/>
  <c r="B50" i="11" s="1"/>
  <c r="A56" i="11"/>
  <c r="M51" i="11"/>
  <c r="T28" i="11"/>
  <c r="I44" i="11"/>
  <c r="S40" i="11"/>
  <c r="T31" i="11"/>
  <c r="E50" i="11"/>
  <c r="H50" i="11"/>
  <c r="G50" i="11"/>
  <c r="F50" i="11"/>
  <c r="V25" i="11"/>
  <c r="J35" i="11"/>
  <c r="S37" i="11"/>
  <c r="AC42" i="11"/>
  <c r="AC43" i="11" s="1"/>
  <c r="T42" i="11"/>
  <c r="P42" i="11"/>
  <c r="P43" i="11" s="1"/>
  <c r="W42" i="11"/>
  <c r="S42" i="11"/>
  <c r="V42" i="11"/>
  <c r="U42" i="11"/>
  <c r="Q42" i="11"/>
  <c r="B47" i="11"/>
  <c r="V101" i="12"/>
  <c r="V102" i="12" s="1"/>
  <c r="V108" i="12" s="1"/>
  <c r="V119" i="12" s="1"/>
  <c r="D35" i="12"/>
  <c r="G25" i="12"/>
  <c r="G26" i="12" s="1"/>
  <c r="Q43" i="11" l="1"/>
  <c r="R43" i="11" s="1"/>
  <c r="C56" i="11"/>
  <c r="B53" i="11" s="1"/>
  <c r="Q51" i="11" s="1"/>
  <c r="M54" i="11"/>
  <c r="A59" i="11"/>
  <c r="U31" i="11"/>
  <c r="T37" i="11"/>
  <c r="V48" i="11"/>
  <c r="U48" i="11"/>
  <c r="AC48" i="11"/>
  <c r="AC49" i="11" s="1"/>
  <c r="P49" i="11"/>
  <c r="T48" i="11"/>
  <c r="W48" i="11"/>
  <c r="U28" i="11"/>
  <c r="H53" i="11"/>
  <c r="G53" i="11"/>
  <c r="F53" i="11"/>
  <c r="E53" i="11"/>
  <c r="W25" i="11"/>
  <c r="T40" i="11"/>
  <c r="D36" i="12"/>
  <c r="Q49" i="11" l="1"/>
  <c r="U37" i="11"/>
  <c r="U51" i="11"/>
  <c r="AC51" i="11"/>
  <c r="AC52" i="11" s="1"/>
  <c r="T51" i="11"/>
  <c r="P51" i="11"/>
  <c r="P52" i="11" s="1"/>
  <c r="W51" i="11"/>
  <c r="V51" i="11"/>
  <c r="C59" i="11"/>
  <c r="B56" i="11" s="1"/>
  <c r="A62" i="11"/>
  <c r="M57" i="11"/>
  <c r="U40" i="11"/>
  <c r="V28" i="11"/>
  <c r="J50" i="11"/>
  <c r="V31" i="11"/>
  <c r="G56" i="11"/>
  <c r="F56" i="11"/>
  <c r="E56" i="11"/>
  <c r="H56" i="11"/>
  <c r="S43" i="11"/>
  <c r="D37" i="12"/>
  <c r="Q52" i="11" l="1"/>
  <c r="R52" i="11" s="1"/>
  <c r="S52" i="11" s="1"/>
  <c r="T52" i="11" s="1"/>
  <c r="T43" i="11"/>
  <c r="AC54" i="11"/>
  <c r="AC55" i="11" s="1"/>
  <c r="T54" i="11"/>
  <c r="P54" i="11"/>
  <c r="P55" i="11" s="1"/>
  <c r="W54" i="11"/>
  <c r="V54" i="11"/>
  <c r="R54" i="11"/>
  <c r="Q54" i="11"/>
  <c r="U54" i="11"/>
  <c r="W31" i="11"/>
  <c r="G59" i="11"/>
  <c r="F59" i="11"/>
  <c r="I56" i="11" s="1"/>
  <c r="H59" i="11"/>
  <c r="E59" i="11"/>
  <c r="V37" i="11"/>
  <c r="V40" i="11"/>
  <c r="R49" i="11"/>
  <c r="W28" i="11"/>
  <c r="A65" i="11"/>
  <c r="M60" i="11"/>
  <c r="C62" i="11"/>
  <c r="B59" i="11" s="1"/>
  <c r="J53" i="11"/>
  <c r="I32" i="12"/>
  <c r="I50" i="11" l="1"/>
  <c r="D50" i="11" s="1"/>
  <c r="I53" i="11"/>
  <c r="D53" i="11" s="1"/>
  <c r="Q55" i="11"/>
  <c r="R55" i="11" s="1"/>
  <c r="U52" i="11"/>
  <c r="M63" i="11"/>
  <c r="A68" i="11"/>
  <c r="C65" i="11"/>
  <c r="B62" i="11" s="1"/>
  <c r="S49" i="11"/>
  <c r="F62" i="11"/>
  <c r="E62" i="11"/>
  <c r="G62" i="11"/>
  <c r="H62" i="11"/>
  <c r="U43" i="11"/>
  <c r="W40" i="11"/>
  <c r="W37" i="11"/>
  <c r="H98" i="12"/>
  <c r="H87" i="12"/>
  <c r="B87" i="12" s="1"/>
  <c r="I66" i="12"/>
  <c r="H60" i="12"/>
  <c r="B60" i="12" s="1"/>
  <c r="H66" i="12"/>
  <c r="H77" i="12"/>
  <c r="I45" i="12"/>
  <c r="H45" i="12"/>
  <c r="H39" i="12"/>
  <c r="B39" i="12" s="1"/>
  <c r="H56" i="12"/>
  <c r="H32" i="12"/>
  <c r="B32" i="12" s="1"/>
  <c r="T32" i="12" s="1"/>
  <c r="G27" i="12"/>
  <c r="W60" i="11" l="1"/>
  <c r="S60" i="11"/>
  <c r="V60" i="11"/>
  <c r="AC60" i="11"/>
  <c r="AC61" i="11" s="1"/>
  <c r="T60" i="11"/>
  <c r="P61" i="11"/>
  <c r="U60" i="11"/>
  <c r="T49" i="11"/>
  <c r="C68" i="11"/>
  <c r="B65" i="11" s="1"/>
  <c r="M66" i="11"/>
  <c r="A71" i="11"/>
  <c r="V43" i="11"/>
  <c r="S55" i="11"/>
  <c r="E65" i="11"/>
  <c r="H65" i="11"/>
  <c r="F65" i="11"/>
  <c r="J62" i="11" s="1"/>
  <c r="G65" i="11"/>
  <c r="V52" i="11"/>
  <c r="H81" i="12"/>
  <c r="B81" i="12" s="1"/>
  <c r="H108" i="12"/>
  <c r="B108" i="12" s="1"/>
  <c r="H102" i="12"/>
  <c r="B102" i="12" s="1"/>
  <c r="I56" i="12"/>
  <c r="B56" i="12" s="1"/>
  <c r="I77" i="12"/>
  <c r="B77" i="12" s="1"/>
  <c r="I119" i="12"/>
  <c r="I98" i="12"/>
  <c r="B98" i="12" s="1"/>
  <c r="H119" i="12"/>
  <c r="B66" i="12"/>
  <c r="B45" i="12"/>
  <c r="Q61" i="11" l="1"/>
  <c r="R61" i="11" s="1"/>
  <c r="T55" i="11"/>
  <c r="W43" i="11"/>
  <c r="C71" i="11"/>
  <c r="B68" i="11" s="1"/>
  <c r="A74" i="11"/>
  <c r="M69" i="11"/>
  <c r="V63" i="11"/>
  <c r="U63" i="11"/>
  <c r="Q63" i="11"/>
  <c r="W63" i="11"/>
  <c r="AC63" i="11"/>
  <c r="AC64" i="11" s="1"/>
  <c r="T63" i="11"/>
  <c r="P63" i="11"/>
  <c r="P64" i="11" s="1"/>
  <c r="U49" i="11"/>
  <c r="W52" i="11"/>
  <c r="H68" i="11"/>
  <c r="G68" i="11"/>
  <c r="E68" i="11"/>
  <c r="F68" i="11"/>
  <c r="B119" i="12"/>
  <c r="Q64" i="11" l="1"/>
  <c r="R64" i="11" s="1"/>
  <c r="S61" i="11"/>
  <c r="J65" i="11"/>
  <c r="U66" i="11"/>
  <c r="Q66" i="11"/>
  <c r="AC66" i="11"/>
  <c r="AC67" i="11" s="1"/>
  <c r="T66" i="11"/>
  <c r="P66" i="11"/>
  <c r="P67" i="11" s="1"/>
  <c r="V66" i="11"/>
  <c r="R66" i="11"/>
  <c r="W66" i="11"/>
  <c r="G71" i="11"/>
  <c r="F71" i="11"/>
  <c r="I68" i="11" s="1"/>
  <c r="H71" i="11"/>
  <c r="E71" i="11"/>
  <c r="V49" i="11"/>
  <c r="U55" i="11"/>
  <c r="A77" i="11"/>
  <c r="M72" i="11"/>
  <c r="C74" i="11"/>
  <c r="G28" i="12"/>
  <c r="I62" i="11" l="1"/>
  <c r="D62" i="11" s="1"/>
  <c r="Q67" i="11"/>
  <c r="R67" i="11" s="1"/>
  <c r="F74" i="11"/>
  <c r="E74" i="11"/>
  <c r="G74" i="11"/>
  <c r="H74" i="11"/>
  <c r="T61" i="11"/>
  <c r="V55" i="11"/>
  <c r="B71" i="11"/>
  <c r="S64" i="11"/>
  <c r="M75" i="11"/>
  <c r="A80" i="11"/>
  <c r="C77" i="11"/>
  <c r="W49" i="11"/>
  <c r="I65" i="11"/>
  <c r="D65" i="11" s="1"/>
  <c r="G29" i="12"/>
  <c r="G30" i="12" s="1"/>
  <c r="U61" i="11" l="1"/>
  <c r="E77" i="11"/>
  <c r="H77" i="11"/>
  <c r="F77" i="11"/>
  <c r="G77" i="11"/>
  <c r="T64" i="11"/>
  <c r="W55" i="11"/>
  <c r="B74" i="11"/>
  <c r="S67" i="11"/>
  <c r="C80" i="11"/>
  <c r="M78" i="11"/>
  <c r="G31" i="12"/>
  <c r="AC18" i="11"/>
  <c r="AC19" i="11" s="1"/>
  <c r="T67" i="11" l="1"/>
  <c r="U64" i="11"/>
  <c r="W72" i="11"/>
  <c r="S72" i="11"/>
  <c r="V72" i="11"/>
  <c r="AC72" i="11"/>
  <c r="AC73" i="11" s="1"/>
  <c r="T72" i="11"/>
  <c r="P73" i="11"/>
  <c r="U72" i="11"/>
  <c r="V61" i="11"/>
  <c r="H80" i="11"/>
  <c r="G80" i="11"/>
  <c r="F80" i="11"/>
  <c r="J68" i="11" s="1"/>
  <c r="D68" i="11" s="1"/>
  <c r="B80" i="11"/>
  <c r="I80" i="11"/>
  <c r="E80" i="11"/>
  <c r="J71" i="11" s="1"/>
  <c r="B77" i="11"/>
  <c r="J74" i="11"/>
  <c r="G32" i="12"/>
  <c r="G33" i="12" s="1"/>
  <c r="P19" i="11"/>
  <c r="Q73" i="11" l="1"/>
  <c r="R73" i="11" s="1"/>
  <c r="I23" i="11"/>
  <c r="D23" i="11" s="1"/>
  <c r="I35" i="11"/>
  <c r="D35" i="11" s="1"/>
  <c r="I47" i="11"/>
  <c r="J47" i="11"/>
  <c r="J59" i="11"/>
  <c r="I59" i="11"/>
  <c r="I20" i="11"/>
  <c r="D20" i="11" s="1"/>
  <c r="I71" i="11"/>
  <c r="D71" i="11" s="1"/>
  <c r="J80" i="11"/>
  <c r="D80" i="11" s="1"/>
  <c r="V64" i="11"/>
  <c r="W61" i="11"/>
  <c r="U67" i="11"/>
  <c r="U78" i="11"/>
  <c r="Q78" i="11"/>
  <c r="AC78" i="11"/>
  <c r="AC79" i="11" s="1"/>
  <c r="T78" i="11"/>
  <c r="P78" i="11"/>
  <c r="P79" i="11" s="1"/>
  <c r="W78" i="11"/>
  <c r="V78" i="11"/>
  <c r="R78" i="11"/>
  <c r="V75" i="11"/>
  <c r="U75" i="11"/>
  <c r="Q75" i="11"/>
  <c r="W75" i="11"/>
  <c r="T75" i="11"/>
  <c r="P75" i="11"/>
  <c r="P76" i="11" s="1"/>
  <c r="AC75" i="11"/>
  <c r="AC76" i="11" s="1"/>
  <c r="J44" i="11"/>
  <c r="D44" i="11" s="1"/>
  <c r="J32" i="11"/>
  <c r="D32" i="11" s="1"/>
  <c r="J56" i="11"/>
  <c r="D56" i="11" s="1"/>
  <c r="I77" i="11"/>
  <c r="I74" i="11"/>
  <c r="D74" i="11" s="1"/>
  <c r="J77" i="11"/>
  <c r="G34" i="12"/>
  <c r="Q19" i="11"/>
  <c r="D77" i="11" l="1"/>
  <c r="D47" i="11"/>
  <c r="D59" i="11"/>
  <c r="Q76" i="11"/>
  <c r="Q79" i="11"/>
  <c r="R79" i="11" s="1"/>
  <c r="W64" i="11"/>
  <c r="S73" i="11"/>
  <c r="V67" i="11"/>
  <c r="G35" i="12"/>
  <c r="R19" i="11"/>
  <c r="T73" i="11" l="1"/>
  <c r="R76" i="11"/>
  <c r="W67" i="11"/>
  <c r="S79" i="11"/>
  <c r="G36" i="12"/>
  <c r="S19" i="11"/>
  <c r="T79" i="11" l="1"/>
  <c r="S76" i="11"/>
  <c r="U73" i="11"/>
  <c r="I34" i="12"/>
  <c r="G37" i="12"/>
  <c r="T19" i="11"/>
  <c r="T76" i="11" l="1"/>
  <c r="V73" i="11"/>
  <c r="U79" i="11"/>
  <c r="H34" i="12"/>
  <c r="B34" i="12" s="1"/>
  <c r="U19" i="11"/>
  <c r="W73" i="11" l="1"/>
  <c r="U76" i="11"/>
  <c r="V79" i="11"/>
  <c r="V19" i="11"/>
  <c r="V76" i="11" l="1"/>
  <c r="W79" i="11"/>
  <c r="W19" i="11"/>
  <c r="W76" i="11" l="1"/>
  <c r="F32" i="12"/>
  <c r="F33" i="12" s="1"/>
  <c r="F34" i="12" s="1"/>
  <c r="F35" i="12" s="1"/>
  <c r="F36" i="12" s="1"/>
  <c r="F37" i="12" s="1"/>
  <c r="E32" i="12"/>
  <c r="E33" i="12" l="1"/>
  <c r="E34" i="12" s="1"/>
  <c r="E35" i="12" s="1"/>
  <c r="E36" i="12" s="1"/>
  <c r="E37" i="12" s="1"/>
  <c r="H31" i="12" l="1"/>
  <c r="S15" i="12"/>
  <c r="T15" i="12" s="1"/>
  <c r="S14" i="12"/>
  <c r="T14" i="12" s="1"/>
  <c r="I73" i="12" l="1"/>
  <c r="B73" i="12" s="1"/>
  <c r="I52" i="12" l="1"/>
  <c r="B52" i="12" s="1"/>
  <c r="I31" i="12"/>
  <c r="B31" i="12" s="1"/>
  <c r="I94" i="12"/>
  <c r="B94" i="12" s="1"/>
  <c r="I115" i="12"/>
  <c r="B115" i="12" s="1"/>
  <c r="C16" i="12" l="1"/>
  <c r="C17" i="12" s="1"/>
  <c r="K17" i="12" l="1"/>
  <c r="B17" i="13" s="1"/>
  <c r="K16" i="12"/>
  <c r="B16" i="13" s="1"/>
  <c r="C18" i="12"/>
  <c r="C19" i="12" s="1"/>
  <c r="C20" i="12" s="1"/>
  <c r="K20" i="12" s="1"/>
  <c r="B20" i="13" s="1"/>
  <c r="L21" i="11" l="1"/>
  <c r="I13" i="12"/>
  <c r="K18" i="12"/>
  <c r="B18" i="13" s="1"/>
  <c r="K19" i="12"/>
  <c r="B19" i="13" s="1"/>
  <c r="C21" i="12"/>
  <c r="C22" i="12" l="1"/>
  <c r="K21" i="12"/>
  <c r="B21" i="13" s="1"/>
  <c r="C23" i="12" l="1"/>
  <c r="K22" i="12"/>
  <c r="B22" i="13" s="1"/>
  <c r="K23" i="12" l="1"/>
  <c r="B23" i="13" s="1"/>
  <c r="C24" i="12"/>
  <c r="I18" i="12"/>
  <c r="K24" i="12" l="1"/>
  <c r="C25" i="12"/>
  <c r="B24" i="13" l="1"/>
  <c r="L27" i="11"/>
  <c r="C26" i="12"/>
  <c r="K25" i="12"/>
  <c r="B25" i="13" s="1"/>
  <c r="C27" i="12" l="1"/>
  <c r="K26" i="12"/>
  <c r="B26" i="13" s="1"/>
  <c r="C28" i="12" l="1"/>
  <c r="K27" i="12"/>
  <c r="B27" i="13" s="1"/>
  <c r="K28" i="12" l="1"/>
  <c r="B28" i="13" s="1"/>
  <c r="C29" i="12"/>
  <c r="C30" i="12" l="1"/>
  <c r="K29" i="12"/>
  <c r="B29" i="13" s="1"/>
  <c r="C31" i="12" l="1"/>
  <c r="K30" i="12"/>
  <c r="B30" i="13" s="1"/>
  <c r="C32" i="12" l="1"/>
  <c r="K31" i="12"/>
  <c r="B31" i="13" s="1"/>
  <c r="K32" i="12" l="1"/>
  <c r="B32" i="13" s="1"/>
  <c r="C33" i="12"/>
  <c r="C34" i="12" l="1"/>
  <c r="K33" i="12"/>
  <c r="B33" i="13" s="1"/>
  <c r="C35" i="12" l="1"/>
  <c r="K34" i="12"/>
  <c r="B34" i="13" s="1"/>
  <c r="K35" i="12" l="1"/>
  <c r="C36" i="12"/>
  <c r="B35" i="13" l="1"/>
  <c r="L30" i="11"/>
  <c r="K36" i="12"/>
  <c r="B36" i="13" s="1"/>
  <c r="C37" i="12"/>
  <c r="C38" i="12" l="1"/>
  <c r="K37" i="12"/>
  <c r="B37" i="13" s="1"/>
  <c r="H18" i="12"/>
  <c r="B18" i="12" s="1"/>
  <c r="I24" i="12"/>
  <c r="H24" i="12"/>
  <c r="I35" i="12"/>
  <c r="H35" i="12"/>
  <c r="K38" i="12" l="1"/>
  <c r="C39" i="12"/>
  <c r="B35" i="12"/>
  <c r="B24" i="12"/>
  <c r="B38" i="13" l="1"/>
  <c r="L33" i="11"/>
  <c r="K39" i="12"/>
  <c r="C40" i="12"/>
  <c r="C41" i="12" s="1"/>
  <c r="K41" i="12" s="1"/>
  <c r="B41" i="13" s="1"/>
  <c r="B39" i="13" l="1"/>
  <c r="L36" i="11"/>
  <c r="C42" i="12"/>
  <c r="K40" i="12"/>
  <c r="B40" i="13" s="1"/>
  <c r="K42" i="12" l="1"/>
  <c r="B42" i="13" s="1"/>
  <c r="C43" i="12"/>
  <c r="K43" i="12" l="1"/>
  <c r="B43" i="13" s="1"/>
  <c r="C44" i="12"/>
  <c r="K44" i="12" l="1"/>
  <c r="B44" i="13" s="1"/>
  <c r="C45" i="12"/>
  <c r="C46" i="12" l="1"/>
  <c r="K45" i="12"/>
  <c r="B45" i="13" l="1"/>
  <c r="L39" i="11"/>
  <c r="K46" i="12"/>
  <c r="B46" i="13" s="1"/>
  <c r="C47" i="12"/>
  <c r="C48" i="12" l="1"/>
  <c r="K47" i="12"/>
  <c r="B47" i="13" s="1"/>
  <c r="K48" i="12" l="1"/>
  <c r="B48" i="13" s="1"/>
  <c r="C49" i="12"/>
  <c r="C50" i="12" l="1"/>
  <c r="K49" i="12"/>
  <c r="B49" i="13" s="1"/>
  <c r="K50" i="12" l="1"/>
  <c r="B50" i="13" s="1"/>
  <c r="C51" i="12"/>
  <c r="K51" i="12" l="1"/>
  <c r="B51" i="13" s="1"/>
  <c r="C52" i="12"/>
  <c r="K52" i="12" l="1"/>
  <c r="B52" i="13" s="1"/>
  <c r="C53" i="12"/>
  <c r="C54" i="12" l="1"/>
  <c r="K53" i="12"/>
  <c r="B53" i="13" s="1"/>
  <c r="K54" i="12" l="1"/>
  <c r="B54" i="13" s="1"/>
  <c r="C55" i="12"/>
  <c r="C56" i="12" l="1"/>
  <c r="K55" i="12"/>
  <c r="B55" i="13" s="1"/>
  <c r="K56" i="12" l="1"/>
  <c r="C57" i="12"/>
  <c r="B56" i="13" l="1"/>
  <c r="L42" i="11"/>
  <c r="K57" i="12"/>
  <c r="B57" i="13" s="1"/>
  <c r="C58" i="12"/>
  <c r="C59" i="12" s="1"/>
  <c r="C60" i="12" l="1"/>
  <c r="K59" i="12"/>
  <c r="K58" i="12"/>
  <c r="B58" i="13" s="1"/>
  <c r="B59" i="13" l="1"/>
  <c r="L45" i="11"/>
  <c r="C61" i="12"/>
  <c r="C62" i="12" s="1"/>
  <c r="K62" i="12" s="1"/>
  <c r="B62" i="13" s="1"/>
  <c r="K60" i="12"/>
  <c r="B60" i="13" l="1"/>
  <c r="L48" i="11"/>
  <c r="K61" i="12"/>
  <c r="B61" i="13" s="1"/>
  <c r="C63" i="12"/>
  <c r="K63" i="12" l="1"/>
  <c r="B63" i="13" s="1"/>
  <c r="C64" i="12"/>
  <c r="K64" i="12" l="1"/>
  <c r="B64" i="13" s="1"/>
  <c r="C65" i="12"/>
  <c r="C66" i="12" l="1"/>
  <c r="K65" i="12"/>
  <c r="B65" i="13" s="1"/>
  <c r="C67" i="12" l="1"/>
  <c r="K66" i="12"/>
  <c r="B66" i="13" l="1"/>
  <c r="L51" i="11"/>
  <c r="C68" i="12"/>
  <c r="K67" i="12"/>
  <c r="B67" i="13" s="1"/>
  <c r="C69" i="12" l="1"/>
  <c r="K68" i="12"/>
  <c r="B68" i="13" s="1"/>
  <c r="C70" i="12" l="1"/>
  <c r="K69" i="12"/>
  <c r="B69" i="13" s="1"/>
  <c r="C71" i="12" l="1"/>
  <c r="K70" i="12"/>
  <c r="B70" i="13" s="1"/>
  <c r="K71" i="12" l="1"/>
  <c r="B71" i="13" s="1"/>
  <c r="C72" i="12"/>
  <c r="C73" i="12" l="1"/>
  <c r="K72" i="12"/>
  <c r="B72" i="13" s="1"/>
  <c r="K73" i="12" l="1"/>
  <c r="B73" i="13" s="1"/>
  <c r="C74" i="12"/>
  <c r="C75" i="12" l="1"/>
  <c r="K74" i="12"/>
  <c r="B74" i="13" s="1"/>
  <c r="K75" i="12" l="1"/>
  <c r="B75" i="13" s="1"/>
  <c r="C76" i="12"/>
  <c r="C77" i="12" l="1"/>
  <c r="K76" i="12"/>
  <c r="B76" i="13" s="1"/>
  <c r="C78" i="12" l="1"/>
  <c r="K77" i="12"/>
  <c r="B77" i="13" l="1"/>
  <c r="L54" i="11"/>
  <c r="K78" i="12"/>
  <c r="B78" i="13" s="1"/>
  <c r="C79" i="12"/>
  <c r="C80" i="12" s="1"/>
  <c r="K80" i="12" l="1"/>
  <c r="C81" i="12"/>
  <c r="K79" i="12"/>
  <c r="B79" i="13" s="1"/>
  <c r="B80" i="13" l="1"/>
  <c r="L57" i="11"/>
  <c r="K81" i="12"/>
  <c r="C82" i="12"/>
  <c r="C83" i="12" s="1"/>
  <c r="K83" i="12" s="1"/>
  <c r="B83" i="13" s="1"/>
  <c r="B81" i="13" l="1"/>
  <c r="L60" i="11"/>
  <c r="C84" i="12"/>
  <c r="K82" i="12"/>
  <c r="B82" i="13" s="1"/>
  <c r="K84" i="12" l="1"/>
  <c r="B84" i="13" s="1"/>
  <c r="C85" i="12"/>
  <c r="K85" i="12" l="1"/>
  <c r="B85" i="13" s="1"/>
  <c r="C86" i="12"/>
  <c r="K86" i="12" l="1"/>
  <c r="B86" i="13" s="1"/>
  <c r="C87" i="12"/>
  <c r="C88" i="12" l="1"/>
  <c r="K87" i="12"/>
  <c r="B87" i="13" l="1"/>
  <c r="L63" i="11"/>
  <c r="K88" i="12"/>
  <c r="B88" i="13" s="1"/>
  <c r="C89" i="12"/>
  <c r="C90" i="12" l="1"/>
  <c r="K89" i="12"/>
  <c r="B89" i="13" s="1"/>
  <c r="K90" i="12" l="1"/>
  <c r="B90" i="13" s="1"/>
  <c r="C91" i="12"/>
  <c r="C92" i="12" l="1"/>
  <c r="K91" i="12"/>
  <c r="B91" i="13" s="1"/>
  <c r="K92" i="12" l="1"/>
  <c r="B92" i="13" s="1"/>
  <c r="C93" i="12"/>
  <c r="C94" i="12" l="1"/>
  <c r="K93" i="12"/>
  <c r="B93" i="13" s="1"/>
  <c r="K94" i="12" l="1"/>
  <c r="B94" i="13" s="1"/>
  <c r="C95" i="12"/>
  <c r="C96" i="12" l="1"/>
  <c r="K95" i="12"/>
  <c r="B95" i="13" s="1"/>
  <c r="K96" i="12" l="1"/>
  <c r="B96" i="13" s="1"/>
  <c r="C97" i="12"/>
  <c r="C98" i="12" l="1"/>
  <c r="K97" i="12"/>
  <c r="B97" i="13" s="1"/>
  <c r="C99" i="12" l="1"/>
  <c r="K98" i="12"/>
  <c r="B98" i="13" l="1"/>
  <c r="L66" i="11"/>
  <c r="K99" i="12"/>
  <c r="B99" i="13" s="1"/>
  <c r="C100" i="12"/>
  <c r="K100" i="12" l="1"/>
  <c r="B100" i="13" s="1"/>
  <c r="C101" i="12"/>
  <c r="C102" i="12" l="1"/>
  <c r="K101" i="12"/>
  <c r="B101" i="13" l="1"/>
  <c r="L69" i="11"/>
  <c r="K102" i="12"/>
  <c r="C103" i="12"/>
  <c r="C104" i="12" s="1"/>
  <c r="K104" i="12" s="1"/>
  <c r="B104" i="13" s="1"/>
  <c r="B102" i="13" l="1"/>
  <c r="L72" i="11"/>
  <c r="K103" i="12"/>
  <c r="B103" i="13" s="1"/>
  <c r="C105" i="12"/>
  <c r="C106" i="12" l="1"/>
  <c r="K105" i="12"/>
  <c r="B105" i="13" s="1"/>
  <c r="K106" i="12" l="1"/>
  <c r="B106" i="13" s="1"/>
  <c r="C107" i="12"/>
  <c r="K107" i="12" l="1"/>
  <c r="B107" i="13" s="1"/>
  <c r="C108" i="12"/>
  <c r="C109" i="12" l="1"/>
  <c r="K108" i="12"/>
  <c r="B108" i="13" l="1"/>
  <c r="L75" i="11"/>
  <c r="C110" i="12"/>
  <c r="K109" i="12"/>
  <c r="B109" i="13" s="1"/>
  <c r="K110" i="12" l="1"/>
  <c r="B110" i="13" s="1"/>
  <c r="C111" i="12"/>
  <c r="K111" i="12" l="1"/>
  <c r="B111" i="13" s="1"/>
  <c r="C112" i="12"/>
  <c r="C113" i="12" l="1"/>
  <c r="K112" i="12"/>
  <c r="B112" i="13" s="1"/>
  <c r="K113" i="12" l="1"/>
  <c r="B113" i="13" s="1"/>
  <c r="C114" i="12"/>
  <c r="K114" i="12" l="1"/>
  <c r="B114" i="13" s="1"/>
  <c r="C115" i="12"/>
  <c r="K115" i="12" l="1"/>
  <c r="B115" i="13" s="1"/>
  <c r="C116" i="12"/>
  <c r="C117" i="12" l="1"/>
  <c r="K116" i="12"/>
  <c r="B116" i="13" s="1"/>
  <c r="K117" i="12" l="1"/>
  <c r="B117" i="13" s="1"/>
  <c r="C118" i="12"/>
  <c r="C119" i="12" l="1"/>
  <c r="K118" i="12"/>
  <c r="B118" i="13" s="1"/>
  <c r="C120" i="12" l="1"/>
  <c r="K119" i="12"/>
  <c r="B119" i="13" l="1"/>
  <c r="L78" i="11"/>
  <c r="K120" i="12"/>
  <c r="B120" i="13" l="1"/>
  <c r="L24" i="11"/>
  <c r="I17" i="12"/>
  <c r="I38" i="12" l="1"/>
  <c r="I59" i="12" l="1"/>
  <c r="I80" i="12" l="1"/>
  <c r="I101" i="12" l="1"/>
  <c r="H101" i="12"/>
  <c r="H59" i="12"/>
  <c r="B59" i="12" s="1"/>
  <c r="H80" i="12"/>
  <c r="B80" i="12" s="1"/>
  <c r="H38" i="12"/>
  <c r="B38" i="12" s="1"/>
  <c r="H13" i="12"/>
  <c r="B13" i="12" s="1"/>
  <c r="H17" i="12"/>
  <c r="B17" i="12" s="1"/>
  <c r="B101" i="12" l="1"/>
  <c r="B12" i="12" s="1"/>
  <c r="X103" i="12"/>
  <c r="X37" i="12"/>
  <c r="X22" i="12"/>
  <c r="X15" i="12"/>
  <c r="X34" i="12"/>
  <c r="X29" i="12"/>
  <c r="X57" i="12"/>
  <c r="X92" i="12"/>
  <c r="X64" i="12"/>
  <c r="X109" i="12"/>
  <c r="X48" i="12"/>
  <c r="X86" i="12"/>
  <c r="X111" i="12"/>
  <c r="X89" i="12"/>
  <c r="X46" i="12"/>
  <c r="X96" i="12"/>
  <c r="X51" i="12"/>
  <c r="X78" i="12"/>
  <c r="X110" i="12"/>
  <c r="X32" i="12"/>
  <c r="X85" i="12"/>
  <c r="X50" i="12"/>
  <c r="X113" i="12"/>
  <c r="X84" i="12"/>
  <c r="X95" i="12"/>
  <c r="X82" i="12"/>
  <c r="X100" i="12"/>
  <c r="X19" i="12"/>
  <c r="X36" i="12"/>
  <c r="X23" i="12"/>
  <c r="X28" i="12"/>
  <c r="X30" i="12"/>
  <c r="X63" i="12"/>
  <c r="X106" i="12"/>
  <c r="X69" i="12"/>
  <c r="X49" i="12"/>
  <c r="X72" i="12"/>
  <c r="X99" i="12"/>
  <c r="X44" i="12"/>
  <c r="X90" i="12"/>
  <c r="X65" i="12"/>
  <c r="X105" i="12"/>
  <c r="X54" i="12"/>
  <c r="X91" i="12"/>
  <c r="X114" i="12"/>
  <c r="X40" i="12"/>
  <c r="X21" i="12"/>
  <c r="X53" i="12"/>
  <c r="X76" i="12"/>
  <c r="X43" i="12"/>
  <c r="X68" i="12"/>
  <c r="X79" i="12"/>
  <c r="X61" i="12"/>
  <c r="X14" i="12"/>
  <c r="X27" i="12"/>
  <c r="X26" i="12"/>
  <c r="X33" i="12"/>
  <c r="X67" i="12"/>
  <c r="X112" i="12"/>
  <c r="X93" i="12"/>
  <c r="X47" i="12"/>
  <c r="X75" i="12"/>
  <c r="X107" i="12"/>
  <c r="X70" i="12"/>
  <c r="X120" i="12"/>
  <c r="X71" i="12"/>
  <c r="X116" i="12"/>
  <c r="X55" i="12"/>
  <c r="X88" i="12"/>
  <c r="X117" i="12"/>
  <c r="X58" i="12"/>
  <c r="X25" i="12"/>
  <c r="X16" i="12"/>
  <c r="X97" i="12"/>
  <c r="X74" i="12"/>
  <c r="X42" i="12"/>
  <c r="X118" i="12"/>
  <c r="U117" i="12" l="1"/>
  <c r="U114" i="12"/>
  <c r="U110" i="12"/>
  <c r="U95" i="12"/>
  <c r="U88" i="12"/>
  <c r="U91" i="12"/>
  <c r="U68" i="12"/>
  <c r="U54" i="12"/>
  <c r="U51" i="12"/>
  <c r="U42" i="12"/>
  <c r="U116" i="12"/>
  <c r="U105" i="12"/>
  <c r="U96" i="12"/>
  <c r="U84" i="12"/>
  <c r="U71" i="12"/>
  <c r="U65" i="12"/>
  <c r="U46" i="12"/>
  <c r="U43" i="12"/>
  <c r="U90" i="12"/>
  <c r="U89" i="12"/>
  <c r="U74" i="12"/>
  <c r="U70" i="12"/>
  <c r="U44" i="12"/>
  <c r="U111" i="12"/>
  <c r="U113" i="12"/>
  <c r="U107" i="12"/>
  <c r="U86" i="12"/>
  <c r="U75" i="12"/>
  <c r="U72" i="12"/>
  <c r="U48" i="12"/>
  <c r="U50" i="12"/>
  <c r="U47" i="12"/>
  <c r="U49" i="12"/>
  <c r="U109" i="12"/>
  <c r="U93" i="12"/>
  <c r="U69" i="12"/>
  <c r="U64" i="12"/>
  <c r="U53" i="12"/>
  <c r="U112" i="12"/>
  <c r="U106" i="12"/>
  <c r="U92" i="12"/>
  <c r="U85" i="12"/>
  <c r="U67" i="12"/>
  <c r="U63" i="12"/>
  <c r="U33" i="12"/>
  <c r="U30" i="12"/>
  <c r="U29" i="12"/>
  <c r="U21" i="12"/>
  <c r="U26" i="12"/>
  <c r="U28" i="12"/>
  <c r="U32" i="12"/>
  <c r="U27" i="12"/>
  <c r="U23" i="12"/>
  <c r="U25" i="12"/>
  <c r="U22" i="12"/>
  <c r="C37" i="13" l="1"/>
  <c r="D100" i="13"/>
  <c r="C40" i="13"/>
  <c r="D61" i="13"/>
  <c r="D37" i="13"/>
  <c r="C100" i="13"/>
  <c r="D40" i="13"/>
  <c r="C61" i="13"/>
  <c r="C103" i="13"/>
  <c r="D82" i="13"/>
  <c r="C19" i="13"/>
  <c r="D79" i="13"/>
  <c r="C58" i="13"/>
  <c r="D103" i="13"/>
  <c r="C82" i="13"/>
  <c r="D19" i="13"/>
  <c r="C79" i="13"/>
  <c r="D58" i="13"/>
  <c r="S16" i="12"/>
  <c r="T16" i="12" s="1"/>
  <c r="U16" i="12" s="1"/>
  <c r="C16" i="13"/>
  <c r="D16" i="13"/>
  <c r="S36" i="12"/>
  <c r="T36" i="12" s="1"/>
  <c r="U36" i="12" s="1"/>
  <c r="S34" i="12"/>
  <c r="T34" i="12" s="1"/>
  <c r="D57" i="13"/>
  <c r="D97" i="13"/>
  <c r="S76" i="12"/>
  <c r="T76" i="12" s="1"/>
  <c r="C99" i="13"/>
  <c r="D55" i="13"/>
  <c r="S78" i="12"/>
  <c r="T78" i="12" s="1"/>
  <c r="D118" i="13"/>
  <c r="D14" i="13"/>
  <c r="C34" i="13"/>
  <c r="S57" i="12"/>
  <c r="T57" i="12" s="1"/>
  <c r="S97" i="12"/>
  <c r="T97" i="12" s="1"/>
  <c r="C120" i="13"/>
  <c r="S55" i="12"/>
  <c r="T55" i="12" s="1"/>
  <c r="D78" i="13"/>
  <c r="S118" i="12"/>
  <c r="T118" i="12" s="1"/>
  <c r="D36" i="13"/>
  <c r="C14" i="13"/>
  <c r="U14" i="12"/>
  <c r="D15" i="13"/>
  <c r="D34" i="13"/>
  <c r="C57" i="13"/>
  <c r="D76" i="13"/>
  <c r="S99" i="12"/>
  <c r="T99" i="12" s="1"/>
  <c r="D120" i="13"/>
  <c r="C55" i="13"/>
  <c r="C78" i="13"/>
  <c r="C36" i="13"/>
  <c r="C15" i="13"/>
  <c r="U15" i="12"/>
  <c r="C97" i="13"/>
  <c r="C76" i="13"/>
  <c r="D99" i="13"/>
  <c r="S120" i="12"/>
  <c r="T120" i="12" s="1"/>
  <c r="C118" i="13"/>
  <c r="T13" i="12" l="1"/>
  <c r="K20" i="11" s="1"/>
  <c r="N18" i="11" s="1"/>
  <c r="U120" i="12"/>
  <c r="T119" i="12"/>
  <c r="U57" i="12"/>
  <c r="U78" i="12"/>
  <c r="U55" i="12"/>
  <c r="T45" i="12"/>
  <c r="T52" i="12"/>
  <c r="U52" i="12" s="1"/>
  <c r="U34" i="12"/>
  <c r="T31" i="12"/>
  <c r="U31" i="12" s="1"/>
  <c r="T24" i="12"/>
  <c r="U99" i="12"/>
  <c r="U118" i="12"/>
  <c r="T108" i="12"/>
  <c r="T115" i="12"/>
  <c r="U115" i="12" s="1"/>
  <c r="U97" i="12"/>
  <c r="T87" i="12"/>
  <c r="T94" i="12"/>
  <c r="U94" i="12" s="1"/>
  <c r="U76" i="12"/>
  <c r="T66" i="12"/>
  <c r="T73" i="12"/>
  <c r="U73" i="12" s="1"/>
  <c r="U87" i="12" l="1"/>
  <c r="K65" i="11"/>
  <c r="N63" i="11" s="1"/>
  <c r="U66" i="12"/>
  <c r="K53" i="11"/>
  <c r="N51" i="11" s="1"/>
  <c r="U24" i="12"/>
  <c r="K29" i="11"/>
  <c r="N27" i="11" s="1"/>
  <c r="U45" i="12"/>
  <c r="K41" i="11"/>
  <c r="N39" i="11" s="1"/>
  <c r="U119" i="12"/>
  <c r="K80" i="11"/>
  <c r="N78" i="11" s="1"/>
  <c r="U108" i="12"/>
  <c r="K77" i="11"/>
  <c r="N75" i="11" s="1"/>
  <c r="U13" i="12"/>
  <c r="W20" i="11"/>
  <c r="AC20" i="11"/>
  <c r="P20" i="11"/>
  <c r="V20" i="11"/>
  <c r="R20" i="11"/>
  <c r="U20" i="11"/>
  <c r="Q20" i="11"/>
  <c r="S20" i="11"/>
  <c r="T20" i="11"/>
  <c r="P77" i="11" l="1"/>
  <c r="AC77" i="11"/>
  <c r="Q77" i="11"/>
  <c r="R77" i="11"/>
  <c r="S77" i="11"/>
  <c r="T77" i="11"/>
  <c r="U77" i="11"/>
  <c r="V77" i="11"/>
  <c r="W77" i="11"/>
  <c r="R53" i="11"/>
  <c r="P53" i="11"/>
  <c r="AC53" i="11"/>
  <c r="Q53" i="11"/>
  <c r="S53" i="11"/>
  <c r="T53" i="11"/>
  <c r="U53" i="11"/>
  <c r="V53" i="11"/>
  <c r="W53" i="11"/>
  <c r="P41" i="11"/>
  <c r="Q41" i="11"/>
  <c r="AC41" i="11"/>
  <c r="R41" i="11"/>
  <c r="S41" i="11"/>
  <c r="T41" i="11"/>
  <c r="U41" i="11"/>
  <c r="V41" i="11"/>
  <c r="W41" i="11"/>
  <c r="AC29" i="11"/>
  <c r="P29" i="11"/>
  <c r="Q29" i="11"/>
  <c r="R29" i="11"/>
  <c r="S29" i="11"/>
  <c r="T29" i="11"/>
  <c r="U29" i="11"/>
  <c r="V29" i="11"/>
  <c r="W29" i="11"/>
  <c r="Q65" i="11"/>
  <c r="AC65" i="11"/>
  <c r="P65" i="11"/>
  <c r="R65" i="11"/>
  <c r="S65" i="11"/>
  <c r="T65" i="11"/>
  <c r="U65" i="11"/>
  <c r="V65" i="11"/>
  <c r="W65" i="11"/>
  <c r="AC80" i="11"/>
  <c r="P80" i="11"/>
  <c r="R80" i="11"/>
  <c r="Q80" i="11"/>
  <c r="S80" i="11"/>
  <c r="T80" i="11"/>
  <c r="U80" i="11"/>
  <c r="V80" i="11"/>
  <c r="W80" i="11"/>
  <c r="S58" i="12"/>
  <c r="T58" i="12" s="1"/>
  <c r="S37" i="12"/>
  <c r="T37" i="12" s="1"/>
  <c r="S100" i="12"/>
  <c r="T100" i="12" s="1"/>
  <c r="S79" i="12"/>
  <c r="T79" i="12" s="1"/>
  <c r="S40" i="12"/>
  <c r="T40" i="12" s="1"/>
  <c r="S103" i="12"/>
  <c r="T103" i="12" s="1"/>
  <c r="S19" i="12"/>
  <c r="T19" i="12" s="1"/>
  <c r="S82" i="12"/>
  <c r="T82" i="12" s="1"/>
  <c r="S61" i="12"/>
  <c r="T61" i="12" s="1"/>
  <c r="U82" i="12" l="1"/>
  <c r="T81" i="12"/>
  <c r="T80" i="12"/>
  <c r="T18" i="12"/>
  <c r="T17" i="12"/>
  <c r="U19" i="12"/>
  <c r="T12" i="12"/>
  <c r="N14" i="11" s="1"/>
  <c r="U100" i="12"/>
  <c r="T98" i="12"/>
  <c r="U103" i="12"/>
  <c r="T102" i="12"/>
  <c r="T101" i="12"/>
  <c r="U37" i="12"/>
  <c r="T35" i="12"/>
  <c r="U79" i="12"/>
  <c r="T77" i="12"/>
  <c r="U61" i="12"/>
  <c r="T60" i="12"/>
  <c r="T59" i="12"/>
  <c r="U40" i="12"/>
  <c r="T39" i="12"/>
  <c r="T38" i="12"/>
  <c r="U58" i="12"/>
  <c r="T56" i="12"/>
  <c r="U39" i="12" l="1"/>
  <c r="K38" i="11"/>
  <c r="N36" i="11" s="1"/>
  <c r="U56" i="12"/>
  <c r="K44" i="11"/>
  <c r="N42" i="11" s="1"/>
  <c r="U77" i="12"/>
  <c r="K56" i="11"/>
  <c r="N54" i="11" s="1"/>
  <c r="U101" i="12"/>
  <c r="K71" i="11"/>
  <c r="N69" i="11" s="1"/>
  <c r="U18" i="12"/>
  <c r="K26" i="11"/>
  <c r="N24" i="11" s="1"/>
  <c r="U80" i="12"/>
  <c r="K59" i="11"/>
  <c r="N57" i="11" s="1"/>
  <c r="U59" i="12"/>
  <c r="K47" i="11"/>
  <c r="N45" i="11" s="1"/>
  <c r="U102" i="12"/>
  <c r="K74" i="11"/>
  <c r="N72" i="11" s="1"/>
  <c r="U38" i="12"/>
  <c r="K35" i="11"/>
  <c r="N33" i="11" s="1"/>
  <c r="U60" i="12"/>
  <c r="K50" i="11"/>
  <c r="N48" i="11" s="1"/>
  <c r="U35" i="12"/>
  <c r="K32" i="11"/>
  <c r="N30" i="11" s="1"/>
  <c r="U81" i="12"/>
  <c r="K62" i="11"/>
  <c r="N60" i="11" s="1"/>
  <c r="U98" i="12"/>
  <c r="K68" i="11"/>
  <c r="N66" i="11" s="1"/>
  <c r="K23" i="11"/>
  <c r="N21" i="11" s="1"/>
  <c r="U17" i="12"/>
  <c r="U5" i="12" l="1"/>
  <c r="P50" i="11"/>
  <c r="AC50" i="11"/>
  <c r="Q50" i="11"/>
  <c r="R50" i="11"/>
  <c r="S50" i="11"/>
  <c r="T50" i="11"/>
  <c r="U50" i="11"/>
  <c r="V50" i="11"/>
  <c r="W50" i="11"/>
  <c r="AC44" i="11"/>
  <c r="P44" i="11"/>
  <c r="Q44" i="11"/>
  <c r="R44" i="11"/>
  <c r="S44" i="11"/>
  <c r="T44" i="11"/>
  <c r="U44" i="11"/>
  <c r="V44" i="11"/>
  <c r="W44" i="11"/>
  <c r="AC68" i="11"/>
  <c r="Q68" i="11"/>
  <c r="P68" i="11"/>
  <c r="R68" i="11"/>
  <c r="S68" i="11"/>
  <c r="T68" i="11"/>
  <c r="U68" i="11"/>
  <c r="V68" i="11"/>
  <c r="W68" i="11"/>
  <c r="AC62" i="11"/>
  <c r="P62" i="11"/>
  <c r="P59" i="11" s="1"/>
  <c r="P58" i="11" s="1"/>
  <c r="P57" i="11" s="1"/>
  <c r="R62" i="11"/>
  <c r="R59" i="11" s="1"/>
  <c r="R58" i="11" s="1"/>
  <c r="Q62" i="11"/>
  <c r="S62" i="11"/>
  <c r="T62" i="11"/>
  <c r="U62" i="11"/>
  <c r="V62" i="11"/>
  <c r="W62" i="11"/>
  <c r="AC74" i="11"/>
  <c r="AC71" i="11" s="1"/>
  <c r="AC70" i="11" s="1"/>
  <c r="AC69" i="11" s="1"/>
  <c r="Q74" i="11"/>
  <c r="Q71" i="11" s="1"/>
  <c r="Q70" i="11" s="1"/>
  <c r="P74" i="11"/>
  <c r="P71" i="11" s="1"/>
  <c r="P70" i="11" s="1"/>
  <c r="P69" i="11" s="1"/>
  <c r="R74" i="11"/>
  <c r="R71" i="11" s="1"/>
  <c r="R70" i="11" s="1"/>
  <c r="S74" i="11"/>
  <c r="S71" i="11" s="1"/>
  <c r="S70" i="11" s="1"/>
  <c r="T74" i="11"/>
  <c r="T71" i="11" s="1"/>
  <c r="T70" i="11" s="1"/>
  <c r="U74" i="11"/>
  <c r="U71" i="11" s="1"/>
  <c r="U70" i="11" s="1"/>
  <c r="V74" i="11"/>
  <c r="V71" i="11" s="1"/>
  <c r="V70" i="11" s="1"/>
  <c r="W74" i="11"/>
  <c r="W71" i="11" s="1"/>
  <c r="W70" i="11" s="1"/>
  <c r="AC32" i="11"/>
  <c r="Q32" i="11"/>
  <c r="P32" i="11"/>
  <c r="R32" i="11"/>
  <c r="S32" i="11"/>
  <c r="T32" i="11"/>
  <c r="U32" i="11"/>
  <c r="V32" i="11"/>
  <c r="W32" i="11"/>
  <c r="AC26" i="11"/>
  <c r="P26" i="11"/>
  <c r="P23" i="11" s="1"/>
  <c r="Q26" i="11"/>
  <c r="R26" i="11"/>
  <c r="S26" i="11"/>
  <c r="T26" i="11"/>
  <c r="U26" i="11"/>
  <c r="V26" i="11"/>
  <c r="W26" i="11"/>
  <c r="Q56" i="11"/>
  <c r="P56" i="11"/>
  <c r="AC56" i="11"/>
  <c r="R56" i="11"/>
  <c r="S56" i="11"/>
  <c r="T56" i="11"/>
  <c r="U56" i="11"/>
  <c r="V56" i="11"/>
  <c r="W56" i="11"/>
  <c r="AC38" i="11"/>
  <c r="P38" i="11"/>
  <c r="Q38" i="11"/>
  <c r="R38" i="11"/>
  <c r="S38" i="11"/>
  <c r="T38" i="11"/>
  <c r="U38" i="11"/>
  <c r="V38" i="11"/>
  <c r="W38" i="11"/>
  <c r="T23" i="11" l="1"/>
  <c r="V69" i="11"/>
  <c r="V23" i="11"/>
  <c r="V22" i="11" s="1"/>
  <c r="W59" i="11"/>
  <c r="W58" i="11" s="1"/>
  <c r="S59" i="11"/>
  <c r="S58" i="11" s="1"/>
  <c r="AC59" i="11"/>
  <c r="AC58" i="11" s="1"/>
  <c r="AC57" i="11" s="1"/>
  <c r="T35" i="11"/>
  <c r="T34" i="11" s="1"/>
  <c r="P35" i="11"/>
  <c r="P34" i="11" s="1"/>
  <c r="P33" i="11" s="1"/>
  <c r="W23" i="11"/>
  <c r="W22" i="11" s="1"/>
  <c r="S23" i="11"/>
  <c r="S22" i="11" s="1"/>
  <c r="AC23" i="11"/>
  <c r="Q69" i="11"/>
  <c r="U23" i="11"/>
  <c r="U22" i="11" s="1"/>
  <c r="Q23" i="11"/>
  <c r="R35" i="11"/>
  <c r="R34" i="11" s="1"/>
  <c r="V35" i="11"/>
  <c r="V34" i="11" s="1"/>
  <c r="R23" i="11"/>
  <c r="T69" i="11"/>
  <c r="U59" i="11"/>
  <c r="U58" i="11" s="1"/>
  <c r="U35" i="11"/>
  <c r="U34" i="11" s="1"/>
  <c r="Q35" i="11"/>
  <c r="Q34" i="11" s="1"/>
  <c r="Q59" i="11"/>
  <c r="Q58" i="11" s="1"/>
  <c r="R57" i="11" s="1"/>
  <c r="W69" i="11"/>
  <c r="S69" i="11"/>
  <c r="T59" i="11"/>
  <c r="T58" i="11" s="1"/>
  <c r="T57" i="11" s="1"/>
  <c r="T47" i="11"/>
  <c r="T46" i="11" s="1"/>
  <c r="T22" i="11"/>
  <c r="R69" i="11"/>
  <c r="S57" i="11"/>
  <c r="V47" i="11"/>
  <c r="V46" i="11" s="1"/>
  <c r="R47" i="11"/>
  <c r="R46" i="11" s="1"/>
  <c r="U69" i="11"/>
  <c r="V59" i="11"/>
  <c r="V58" i="11" s="1"/>
  <c r="U47" i="11"/>
  <c r="U46" i="11" s="1"/>
  <c r="Q47" i="11"/>
  <c r="Q46" i="11" s="1"/>
  <c r="P22" i="11"/>
  <c r="AC47" i="11"/>
  <c r="AC46" i="11" s="1"/>
  <c r="AC45" i="11" s="1"/>
  <c r="W35" i="11"/>
  <c r="W34" i="11" s="1"/>
  <c r="S35" i="11"/>
  <c r="S34" i="11" s="1"/>
  <c r="AC35" i="11"/>
  <c r="AC34" i="11" s="1"/>
  <c r="AC33" i="11" s="1"/>
  <c r="W47" i="11"/>
  <c r="W46" i="11" s="1"/>
  <c r="S47" i="11"/>
  <c r="S46" i="11" s="1"/>
  <c r="P47" i="11"/>
  <c r="P46" i="11" s="1"/>
  <c r="P45" i="11" s="1"/>
  <c r="W33" i="11" l="1"/>
  <c r="Q33" i="11"/>
  <c r="V33" i="11"/>
  <c r="V57" i="11"/>
  <c r="T17" i="11"/>
  <c r="T16" i="11" s="1"/>
  <c r="S33" i="11"/>
  <c r="Q22" i="11"/>
  <c r="R22" i="11" s="1"/>
  <c r="S45" i="11"/>
  <c r="U33" i="11"/>
  <c r="U57" i="11"/>
  <c r="R33" i="11"/>
  <c r="U45" i="11"/>
  <c r="Q57" i="11"/>
  <c r="W45" i="11"/>
  <c r="P17" i="11"/>
  <c r="Q17" i="11"/>
  <c r="Q16" i="11" s="1"/>
  <c r="U17" i="11"/>
  <c r="T33" i="11"/>
  <c r="Q45" i="11"/>
  <c r="R45" i="11"/>
  <c r="V45" i="11"/>
  <c r="V17" i="11"/>
  <c r="S17" i="11"/>
  <c r="R17" i="11"/>
  <c r="W57" i="11"/>
  <c r="T45" i="11"/>
  <c r="W17" i="11"/>
  <c r="AC17" i="11"/>
  <c r="U15" i="11" l="1"/>
  <c r="U14" i="11" s="1"/>
  <c r="Q15" i="11"/>
  <c r="Q14" i="11" s="1"/>
  <c r="U16" i="11"/>
  <c r="P15" i="11"/>
  <c r="P14" i="11" s="1"/>
  <c r="P16" i="11"/>
  <c r="R15" i="11"/>
  <c r="R14" i="11" s="1"/>
  <c r="R16" i="11"/>
  <c r="AC16" i="11"/>
  <c r="AC15" i="11"/>
  <c r="AC14" i="11" s="1"/>
  <c r="S15" i="11"/>
  <c r="S14" i="11" s="1"/>
  <c r="S16" i="11"/>
  <c r="T15" i="11"/>
  <c r="T14" i="11" s="1"/>
  <c r="V15" i="11"/>
  <c r="V14" i="11" s="1"/>
  <c r="V16" i="11"/>
  <c r="W15" i="11"/>
  <c r="W14" i="11" s="1"/>
  <c r="W16" i="11"/>
  <c r="AC22" i="11"/>
  <c r="AC21" i="11" s="1"/>
  <c r="L8" i="11" l="1"/>
</calcChain>
</file>

<file path=xl/sharedStrings.xml><?xml version="1.0" encoding="utf-8"?>
<sst xmlns="http://schemas.openxmlformats.org/spreadsheetml/2006/main" count="1015" uniqueCount="300">
  <si>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</si>
  <si>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</si>
  <si>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</si>
  <si>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</si>
  <si>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</si>
  <si>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</si>
  <si>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</si>
  <si>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</si>
  <si>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</si>
  <si>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</si>
  <si>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</si>
  <si>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</si>
  <si>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</si>
  <si>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</si>
  <si>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</si>
  <si>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</si>
  <si>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</si>
  <si>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</si>
  <si>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</si>
  <si>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</si>
  <si>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</si>
  <si>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</si>
  <si>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</si>
  <si>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</si>
  <si>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</si>
  <si>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</si>
  <si>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</si>
  <si>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</si>
  <si>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</si>
  <si>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</si>
  <si>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</si>
  <si>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</si>
  <si>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</si>
  <si>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</si>
  <si>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</si>
  <si>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</si>
  <si>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</si>
  <si>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</si>
  <si>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</si>
  <si>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</si>
  <si>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</si>
  <si>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</si>
  <si>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</si>
  <si>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</si>
  <si>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</si>
  <si>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</si>
  <si>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</si>
  <si>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</si>
  <si>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</si>
  <si>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</si>
  <si>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</si>
  <si>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</si>
  <si>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</si>
  <si>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</si>
  <si>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</si>
  <si>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</si>
  <si>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</si>
  <si>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</si>
  <si>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</si>
  <si>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</si>
  <si>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</si>
  <si>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</si>
  <si>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</si>
  <si>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</si>
  <si>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</si>
  <si>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</si>
  <si>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</si>
  <si>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</si>
  <si>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</si>
  <si>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</si>
  <si>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</si>
  <si>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</si>
  <si>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</si>
  <si>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</si>
  <si>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</si>
  <si>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</si>
  <si>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</si>
  <si>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</si>
  <si>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</si>
  <si>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</si>
  <si>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</si>
  <si>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</si>
  <si>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</si>
  <si>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</si>
  <si>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</si>
  <si>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</si>
  <si>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</si>
  <si>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</si>
  <si>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</si>
  <si>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</si>
  <si>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</si>
  <si>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</si>
  <si>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</si>
  <si>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</si>
  <si>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</si>
  <si>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</si>
  <si>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</si>
  <si>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</si>
  <si>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</si>
  <si>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</si>
  <si>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</si>
  <si>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</si>
  <si>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</si>
  <si>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</si>
  <si>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</si>
  <si>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</si>
  <si>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</si>
  <si>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</si>
  <si>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</si>
  <si>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</si>
  <si>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</si>
  <si>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</si>
  <si>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</si>
  <si>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</si>
  <si>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</si>
  <si>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</si>
  <si>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</si>
  <si>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</si>
  <si>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</si>
  <si>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</si>
  <si>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</si>
  <si>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</si>
  <si>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</si>
  <si>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</si>
  <si>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</si>
  <si>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</si>
  <si>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</si>
  <si>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</si>
  <si>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</si>
  <si>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</si>
  <si>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</si>
  <si>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</si>
  <si>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</si>
  <si>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</si>
  <si>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</si>
  <si>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</si>
  <si>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</si>
  <si>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</si>
  <si>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</si>
  <si>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</si>
  <si>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</si>
  <si>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</si>
  <si>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</si>
  <si>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</si>
  <si>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</si>
  <si>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</si>
  <si>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</si>
  <si>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</si>
  <si>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</si>
  <si>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</si>
  <si>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</si>
  <si>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</si>
  <si>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</si>
  <si>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</si>
  <si>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</si>
  <si>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</si>
  <si>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</si>
  <si>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</si>
  <si>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</si>
  <si>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</si>
  <si>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</si>
  <si>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</si>
  <si>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</si>
  <si>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</si>
  <si>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</si>
  <si>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</si>
  <si>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</si>
  <si>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</si>
  <si>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</si>
  <si>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</si>
  <si>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</si>
  <si>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</si>
  <si>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</si>
  <si>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</si>
  <si>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</si>
  <si>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</si>
  <si>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</si>
  <si>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</si>
  <si>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</si>
  <si>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</si>
  <si>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</si>
  <si>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</si>
  <si>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</si>
  <si>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</si>
  <si>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</si>
  <si>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</si>
  <si>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</si>
  <si>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</si>
  <si>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</si>
  <si>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</si>
  <si>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</si>
  <si>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</si>
  <si>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</si>
  <si>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</si>
  <si>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</si>
  <si>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</si>
  <si>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</si>
  <si>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</si>
  <si>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</si>
  <si>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</si>
  <si>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</si>
  <si>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</si>
  <si>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</si>
  <si>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</si>
  <si>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</si>
  <si>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</si>
  <si>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</si>
  <si>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</si>
  <si>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</si>
  <si>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</si>
  <si>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</si>
  <si>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</si>
  <si>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</si>
  <si>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</si>
  <si>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</si>
  <si>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</si>
  <si>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</si>
  <si>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</si>
  <si>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</si>
  <si>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</si>
  <si>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</si>
  <si>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</si>
  <si>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</si>
  <si>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</si>
  <si>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</si>
  <si>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</si>
  <si>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</si>
  <si>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</si>
  <si>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</si>
  <si>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</si>
  <si>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</si>
  <si>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 xml:space="preserve">PREFEITO MUNICIPAL </t>
  </si>
  <si>
    <t>BENTO GONÇALVES/RS</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</si>
  <si>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</si>
  <si>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</si>
  <si>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</si>
  <si>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DIOGO SEGABINAZZI SIQUEIRA</t>
  </si>
  <si>
    <t>SICRO</t>
  </si>
  <si>
    <t>M3</t>
  </si>
  <si>
    <t>4011211</t>
  </si>
  <si>
    <t>Reforço do subleito com material de jazida</t>
  </si>
  <si>
    <t>5914389</t>
  </si>
  <si>
    <t>TKM</t>
  </si>
  <si>
    <t>Base ou sub-base de brita graduada com brita comercial</t>
  </si>
  <si>
    <t>4011276</t>
  </si>
  <si>
    <t>4011352</t>
  </si>
  <si>
    <t>Imprimação com emulsão asfáltica</t>
  </si>
  <si>
    <t>5914612</t>
  </si>
  <si>
    <t>M2</t>
  </si>
  <si>
    <t>T</t>
  </si>
  <si>
    <t>PAVIMENTAÇÃO EM CBUQ ESTRADA DA IMACULADA CONCEIÇÃO</t>
  </si>
  <si>
    <t>ESTRADA DA IMACULADA CONCEIÇÃO</t>
  </si>
  <si>
    <t>SERVIÇOS INICIAIS</t>
  </si>
  <si>
    <t>SINAPI</t>
  </si>
  <si>
    <t>103689</t>
  </si>
  <si>
    <t>90778</t>
  </si>
  <si>
    <t>PM BENTO</t>
  </si>
  <si>
    <t>78</t>
  </si>
  <si>
    <t>MOVIMENTAÇÃO DE TERRA E EXECUÇÃO DA BASE</t>
  </si>
  <si>
    <t>PAVIMENTAÇÃO EM CBUQ</t>
  </si>
  <si>
    <t>4011353</t>
  </si>
  <si>
    <t>4011463</t>
  </si>
  <si>
    <t>ANP</t>
  </si>
  <si>
    <t>INSUMO</t>
  </si>
  <si>
    <t>AQUISIÇÃO DE EMULSÃO ASFÁLTICA EAI</t>
  </si>
  <si>
    <t>AQUISIÇÃO DE EMULSÃO ASFÁLTICA RR-1C</t>
  </si>
  <si>
    <t>AQUISIÇÃO DE LIGANTE ASFÁLTICA CAP 50/70</t>
  </si>
  <si>
    <t>CARGA, TRANSPORTE E DESCARGA.</t>
  </si>
  <si>
    <t>5914643</t>
  </si>
  <si>
    <t>Carga, manobra e descarga de mistura betuminosa a quente em caminhão basculante de 6 m³ - carga em usina de asfalto 100/140 t/h e descarga em vibroacabadora</t>
  </si>
  <si>
    <t>Transporte de mistura betuminosa a quente com caminhão com caçamba térmica de 6 m³ - rodovia pavimentada (20KM)</t>
  </si>
  <si>
    <t>102330</t>
  </si>
  <si>
    <t>Transporte com caminhão basculante de 10 m³ - rodovia pavimentada (30km)</t>
  </si>
  <si>
    <t>SINALIZAÇÃO</t>
  </si>
  <si>
    <t>102512</t>
  </si>
  <si>
    <t>11</t>
  </si>
  <si>
    <t>94</t>
  </si>
  <si>
    <t>Pintura de ligação</t>
  </si>
  <si>
    <t>TRECHO 1</t>
  </si>
  <si>
    <t>TRECHO 3</t>
  </si>
  <si>
    <t>TRECHO 4</t>
  </si>
  <si>
    <t>TRECHO 5</t>
  </si>
  <si>
    <t>TRECHO 2</t>
  </si>
  <si>
    <t>Transporte de mistura betuminosa a quente com caminhão com caçamba térmica de 6 m³ - rodovia pavimentada (30KM)</t>
  </si>
  <si>
    <t>5501880</t>
  </si>
  <si>
    <t>Escavação, carga e transporte de material de 1ª categoria - DMT de 1.000 a 1.200 m - caminho de serviço em leito natural - com carregadeira e caminhão basculante de 14 m³</t>
  </si>
  <si>
    <t>Concreto asfáltico - faixa C - areia e brita comerciais (0,125 T/M2)</t>
  </si>
  <si>
    <t>FORNECIMENTO E INSTALAÇÃO DE PLACA DE OBRA COM CHAPA GALVANIZADA E ESTRUTURA DE MADEIRA. AF_03/2022_PS</t>
  </si>
  <si>
    <t>ENGENHEIRO CIVIL DE OBRA PLENO COM ENCARGOS COMPLEMENTARES</t>
  </si>
  <si>
    <t>MOBILIZAÇÃO E DESMOBILIZAÇÃO</t>
  </si>
  <si>
    <t>SINALIZAÇÃO DE TRANSITO NOTURNA</t>
  </si>
  <si>
    <t>TRANSPORTE COM CAMINHÃO TANQUE DE TRANSPORTE DE MATERIAL ASFÁLTICO DE 30000 L, EM VIA URBANA PAVIMENTADA, DMT ATÉ 30KM (UNIDADE: TXKM). AF_07/2020</t>
  </si>
  <si>
    <t>PINTURA DE EIXO VIÁRIO SOBRE ASFALTO COM TINTA RETRORREFLETIVA A BASE DE RESINA ACRÍLICA COM MICROESFERAS DE VIDRO, APLICAÇÃO MECÂNICA COM DEMARCADORA AUTOPROPELIDA. AF_05/2021</t>
  </si>
  <si>
    <t xml:space="preserve">FORNECIMENTO E INSTALAÇÃO DE PLACAS SEMIREFLETIVAS DE REGULAMENTAÇÃO OU ADVERTÊNCIA COM SUPORTE METÁLICO </t>
  </si>
  <si>
    <t>H</t>
  </si>
  <si>
    <t>UN</t>
  </si>
  <si>
    <t xml:space="preserve">M     </t>
  </si>
  <si>
    <t>TXKM</t>
  </si>
  <si>
    <t>M</t>
  </si>
  <si>
    <t xml:space="preserve">UN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</si>
</sst>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62">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7"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10" fontId="1" fillId="0" borderId="0" xfId="76"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71"/>
    <xf numFmtId="0" fontId="22" fillId="0" borderId="0" xfId="71" applyFont="1" applyAlignment="1">
      <alignment horizontal="center"/>
    </xf>
    <xf numFmtId="0" fontId="22" fillId="0" borderId="14" xfId="71" applyFont="1" applyBorder="1" applyAlignment="1">
      <alignment horizontal="center"/>
    </xf>
    <xf numFmtId="10" fontId="31" fillId="0" borderId="14" xfId="71" applyNumberFormat="1" applyFont="1" applyBorder="1" applyAlignment="1">
      <alignment horizontal="center"/>
    </xf>
    <xf numFmtId="0" fontId="21" fillId="0" borderId="0" xfId="71" applyFont="1" applyAlignment="1">
      <alignment horizontal="center"/>
    </xf>
    <xf numFmtId="0" fontId="32" fillId="0" borderId="0" xfId="71" applyFont="1"/>
    <xf numFmtId="0" fontId="22" fillId="0" borderId="0" xfId="71" applyFont="1"/>
    <xf numFmtId="0" fontId="22" fillId="0" borderId="14" xfId="71" applyFont="1" applyBorder="1" applyAlignment="1">
      <alignment horizontal="center" vertical="center" wrapText="1"/>
    </xf>
    <xf numFmtId="0" fontId="30" fillId="0" borderId="14" xfId="71" applyFont="1" applyBorder="1" applyAlignment="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wrapText="1"/>
    </xf>
    <xf numFmtId="0" fontId="30" fillId="0" borderId="14" xfId="71" applyFont="1" applyBorder="1" applyAlignment="1">
      <alignment horizontal="center" vertical="center" wrapText="1"/>
    </xf>
    <xf numFmtId="0" fontId="39" fillId="0" borderId="0" xfId="71" applyFont="1" applyAlignment="1">
      <alignment horizontal="center" vertical="center" wrapText="1"/>
    </xf>
    <xf numFmtId="10" fontId="39" fillId="0" borderId="0" xfId="71" applyNumberFormat="1" applyFont="1" applyAlignment="1">
      <alignment horizontal="center" vertical="center"/>
    </xf>
    <xf numFmtId="170" fontId="1" fillId="0" borderId="0" xfId="71" applyNumberFormat="1"/>
    <xf numFmtId="0" fontId="30" fillId="0" borderId="0" xfId="71" applyFont="1"/>
    <xf numFmtId="0" fontId="30" fillId="0" borderId="0" xfId="71" applyFont="1" applyAlignment="1">
      <alignment vertical="top"/>
    </xf>
    <xf numFmtId="0" fontId="34" fillId="0" borderId="0" xfId="71"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lignment vertical="top"/>
    </xf>
    <xf numFmtId="0" fontId="22" fillId="0" borderId="15" xfId="72" applyFont="1" applyBorder="1" applyAlignment="1">
      <alignment horizontal="center" vertical="top"/>
    </xf>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Font="1" applyFill="1" applyBorder="1" applyAlignment="1" applyProtection="1">
      <alignment horizontal="center" vertical="center" shrinkToFit="1"/>
    </xf>
    <xf numFmtId="164" fontId="1" fillId="0" borderId="20" xfId="87" applyFont="1" applyFill="1" applyBorder="1" applyAlignment="1">
      <alignment horizontal="center" vertical="center" shrinkToFit="1"/>
    </xf>
    <xf numFmtId="0" fontId="21" fillId="0" borderId="0" xfId="0" applyFont="1" applyAlignment="1">
      <alignment horizontal="left" vertical="center"/>
    </xf>
    <xf numFmtId="0" fontId="1" fillId="0" borderId="0" xfId="71" applyAlignment="1">
      <alignment horizontal="center" vertical="top"/>
    </xf>
    <xf numFmtId="0" fontId="38" fillId="0" borderId="0" xfId="72"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71" applyNumberFormat="1" applyFont="1" applyBorder="1" applyAlignment="1">
      <alignment horizontal="center" vertical="center" wrapText="1"/>
    </xf>
    <xf numFmtId="0" fontId="46" fillId="0" borderId="0" xfId="71" applyFont="1" applyAlignment="1">
      <alignment wrapText="1"/>
    </xf>
    <xf numFmtId="0" fontId="47" fillId="0" borderId="0" xfId="71" applyFont="1" applyAlignment="1">
      <alignment vertical="top" wrapText="1"/>
    </xf>
    <xf numFmtId="0" fontId="44" fillId="0" borderId="14" xfId="71" applyFont="1" applyBorder="1" applyAlignment="1">
      <alignment horizontal="center" vertical="center"/>
    </xf>
    <xf numFmtId="4" fontId="26" fillId="0" borderId="0" xfId="71" applyNumberFormat="1" applyFont="1" applyAlignment="1">
      <alignment horizontal="center" vertical="center" wrapText="1"/>
    </xf>
    <xf numFmtId="0" fontId="1" fillId="0" borderId="0" xfId="71"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7"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lignment horizontal="left"/>
    </xf>
    <xf numFmtId="0" fontId="1" fillId="0" borderId="17" xfId="71"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Font="1" applyFill="1" applyBorder="1" applyAlignment="1" applyProtection="1">
      <alignment vertical="center" shrinkToFit="1"/>
      <protection locked="0"/>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Alignment="1">
      <alignment horizontal="left" wrapText="1" indent="3"/>
    </xf>
    <xf numFmtId="0" fontId="0" fillId="0" borderId="0" xfId="0" applyAlignment="1">
      <alignment horizontal="left" indent="3"/>
    </xf>
    <xf numFmtId="0" fontId="22" fillId="0" borderId="11" xfId="72" applyFont="1" applyBorder="1" applyAlignment="1">
      <alignment horizontal="left" vertical="top"/>
    </xf>
    <xf numFmtId="0" fontId="22" fillId="0" borderId="0" xfId="72" applyFont="1" applyAlignment="1">
      <alignment horizontal="left" vertical="top"/>
    </xf>
    <xf numFmtId="0" fontId="1" fillId="0" borderId="0" xfId="0" applyFont="1" applyAlignment="1">
      <alignment horizontal="left" wrapText="1" indent="2"/>
    </xf>
    <xf numFmtId="0" fontId="0" fillId="0" borderId="0" xfId="0" applyAlignment="1">
      <alignment horizontal="left" indent="2"/>
    </xf>
    <xf numFmtId="0" fontId="22" fillId="0" borderId="40" xfId="0" applyFont="1" applyBorder="1" applyAlignment="1">
      <alignment horizontal="left" wrapText="1"/>
    </xf>
    <xf numFmtId="0" fontId="22" fillId="0" borderId="0" xfId="0" applyFont="1" applyAlignment="1">
      <alignment horizontal="left" wrapText="1"/>
    </xf>
    <xf numFmtId="0" fontId="22" fillId="0" borderId="0" xfId="0" applyFont="1" applyAlignment="1">
      <alignment horizontal="left" wrapText="1" indent="1"/>
    </xf>
    <xf numFmtId="0" fontId="22" fillId="0" borderId="0" xfId="0" applyFont="1" applyAlignment="1">
      <alignment horizontal="left" indent="1"/>
    </xf>
    <xf numFmtId="0" fontId="22" fillId="0" borderId="12" xfId="72" applyFont="1" applyBorder="1" applyAlignment="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Alignment="1">
      <alignment horizontal="left" vertical="top" wrapText="1" indent="2"/>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2" applyFont="1" applyBorder="1" applyAlignment="1">
      <alignment horizontal="left" vertical="top"/>
    </xf>
    <xf numFmtId="0" fontId="38" fillId="0" borderId="12" xfId="72" applyFont="1" applyBorder="1" applyAlignment="1">
      <alignment horizontal="left" vertical="top"/>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49" fontId="0" fillId="25" borderId="0" xfId="0" applyNumberFormat="1" applyFill="1" applyAlignment="1" applyProtection="1">
      <alignment horizontal="left"/>
      <protection locked="0"/>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0" xfId="0" applyNumberFormat="1" applyFont="1" applyFill="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0" fontId="1" fillId="0" borderId="18" xfId="0" applyFont="1" applyBorder="1" applyAlignment="1">
      <alignment horizontal="left" vertical="top" wrapText="1"/>
    </xf>
    <xf numFmtId="0" fontId="1" fillId="0" borderId="13" xfId="0" applyFont="1" applyBorder="1" applyAlignment="1">
      <alignment horizontal="left" vertical="top" wrapText="1"/>
    </xf>
    <xf numFmtId="0" fontId="1" fillId="0" borderId="38" xfId="0" applyFont="1" applyBorder="1" applyAlignment="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51" fillId="29" borderId="0" xfId="0" applyFont="1" applyFill="1" applyAlignment="1">
      <alignment horizontal="left" vertical="top" indent="2"/>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71" fontId="1" fillId="0" borderId="0" xfId="71" applyNumberFormat="1" applyAlignment="1">
      <alignment horizontal="left"/>
    </xf>
    <xf numFmtId="0" fontId="45" fillId="0" borderId="0" xfId="71" applyFont="1" applyAlignment="1">
      <alignment horizontal="left" vertical="center" indent="1"/>
    </xf>
    <xf numFmtId="0" fontId="1" fillId="0" borderId="14" xfId="71" applyBorder="1" applyAlignment="1">
      <alignment horizontal="left" vertical="center" wrapText="1"/>
    </xf>
    <xf numFmtId="0" fontId="39" fillId="0" borderId="0" xfId="71" applyFont="1" applyAlignment="1">
      <alignment horizontal="left" vertical="center" wrapText="1"/>
    </xf>
    <xf numFmtId="2" fontId="33" fillId="0" borderId="17" xfId="71" applyNumberFormat="1" applyFont="1" applyBorder="1" applyAlignment="1">
      <alignment horizontal="center" vertical="center"/>
    </xf>
    <xf numFmtId="0" fontId="26" fillId="0" borderId="0" xfId="71" applyFont="1" applyAlignment="1">
      <alignment horizontal="left" vertical="center"/>
    </xf>
    <xf numFmtId="0" fontId="1" fillId="0" borderId="0" xfId="71" applyAlignment="1">
      <alignment horizontal="center" vertical="center"/>
    </xf>
    <xf numFmtId="0" fontId="35" fillId="0" borderId="14" xfId="71" applyFont="1" applyBorder="1" applyAlignment="1">
      <alignment horizontal="center" vertical="center" wrapText="1"/>
    </xf>
    <xf numFmtId="168" fontId="1" fillId="0" borderId="13" xfId="71" applyNumberFormat="1" applyBorder="1" applyAlignment="1">
      <alignment horizontal="left"/>
    </xf>
    <xf numFmtId="49" fontId="1" fillId="25" borderId="32" xfId="71" applyNumberFormat="1" applyFill="1" applyBorder="1" applyAlignment="1" applyProtection="1">
      <alignment horizontal="left" vertical="top" wrapText="1"/>
      <protection locked="0"/>
    </xf>
    <xf numFmtId="49" fontId="1" fillId="25" borderId="10" xfId="71" applyNumberFormat="1" applyFill="1" applyBorder="1" applyAlignment="1" applyProtection="1">
      <alignment horizontal="left" vertical="top" wrapText="1"/>
      <protection locked="0"/>
    </xf>
    <xf numFmtId="49" fontId="1" fillId="25" borderId="19" xfId="71" applyNumberFormat="1" applyFill="1" applyBorder="1" applyAlignment="1" applyProtection="1">
      <alignment horizontal="left" vertical="top" wrapText="1"/>
      <protection locked="0"/>
    </xf>
    <xf numFmtId="0" fontId="1" fillId="0" borderId="17" xfId="71" applyBorder="1" applyAlignment="1">
      <alignment horizontal="center" vertical="center"/>
    </xf>
    <xf numFmtId="49" fontId="1" fillId="0" borderId="0" xfId="71" applyNumberFormat="1" applyAlignment="1" applyProtection="1">
      <alignment horizontal="left"/>
      <protection locked="0"/>
    </xf>
    <xf numFmtId="0" fontId="47" fillId="0" borderId="0" xfId="71" applyFont="1" applyAlignment="1">
      <alignment horizontal="center" vertical="top" wrapText="1"/>
    </xf>
    <xf numFmtId="171" fontId="1" fillId="0" borderId="13" xfId="71" applyNumberFormat="1" applyBorder="1" applyAlignment="1">
      <alignment horizontal="left"/>
    </xf>
    <xf numFmtId="0" fontId="1" fillId="0" borderId="14" xfId="71" applyBorder="1" applyAlignment="1">
      <alignment horizontal="left" vertical="center"/>
    </xf>
    <xf numFmtId="0" fontId="22" fillId="0" borderId="14" xfId="71" applyFont="1" applyBorder="1" applyAlignment="1">
      <alignment horizontal="center" vertical="center"/>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Border="1" applyAlignment="1">
      <alignment horizontal="center" vertical="top" wrapText="1"/>
    </xf>
    <xf numFmtId="0" fontId="1" fillId="0" borderId="38" xfId="71" applyBorder="1" applyAlignment="1">
      <alignment horizontal="center" vertical="top" wrapText="1"/>
    </xf>
    <xf numFmtId="0" fontId="1" fillId="0" borderId="18" xfId="71" applyBorder="1" applyAlignment="1">
      <alignment horizontal="left" vertical="top" wrapText="1"/>
    </xf>
    <xf numFmtId="0" fontId="1" fillId="0" borderId="38" xfId="71" applyBorder="1" applyAlignment="1">
      <alignment horizontal="left" vertical="top" wrapText="1"/>
    </xf>
    <xf numFmtId="49" fontId="1" fillId="0" borderId="18" xfId="71" applyNumberFormat="1" applyBorder="1" applyAlignment="1">
      <alignment horizontal="left" vertical="top" wrapText="1"/>
    </xf>
    <xf numFmtId="0" fontId="1" fillId="0" borderId="13" xfId="71" applyBorder="1" applyAlignment="1">
      <alignment horizontal="left" vertical="top" wrapText="1"/>
    </xf>
    <xf numFmtId="0" fontId="2" fillId="0" borderId="16" xfId="68" applyNumberFormat="1" applyFont="1" applyFill="1" applyBorder="1" applyAlignment="1" applyProtection="1">
      <alignment horizontal="left" wrapText="1"/>
    </xf>
    <xf numFmtId="0" fontId="22" fillId="0" borderId="0" xfId="71" applyFont="1" applyAlignment="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Border="1" applyAlignment="1">
      <alignment horizontal="left"/>
    </xf>
    <xf numFmtId="0" fontId="26" fillId="0" borderId="14" xfId="71" applyFont="1" applyBorder="1" applyAlignment="1">
      <alignment horizontal="center" vertical="center"/>
    </xf>
    <xf numFmtId="0" fontId="2" fillId="0" borderId="14" xfId="71" applyFont="1" applyBorder="1" applyAlignment="1">
      <alignment horizontal="left" wrapText="1"/>
    </xf>
    <xf numFmtId="4" fontId="26" fillId="0" borderId="14" xfId="71" applyNumberFormat="1" applyFont="1" applyBorder="1" applyAlignment="1">
      <alignment horizontal="center" vertical="center" wrapText="1"/>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0" fontId="49" fillId="0" borderId="0" xfId="0" applyFont="1" applyAlignment="1">
      <alignment horizontal="center" vertical="top"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170" fontId="1" fillId="0" borderId="13" xfId="0" applyNumberFormat="1" applyFont="1" applyBorder="1" applyAlignment="1">
      <alignment horizontal="left" vertical="center"/>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0" fontId="2" fillId="28" borderId="23" xfId="0" applyFont="1" applyFill="1" applyBorder="1" applyAlignment="1" applyProtection="1">
      <alignment vertical="center" wrapText="1"/>
    </xf>
    <xf numFmtId="0" fontId="2" fillId="25" borderId="23" xfId="0"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Font="1" applyFill="1" applyBorder="1" applyAlignment="1" applyProtection="1">
      <alignment vertical="center" wrapText="1"/>
    </xf>
    <xf numFmtId="0" fontId="1" fillId="31" borderId="24" xfId="0" applyFont="1" applyFill="1" applyBorder="1" applyAlignment="1" applyProtection="1">
      <alignment horizontal="center" vertical="center" wrapText="1"/>
    </xf>
    <xf numFmtId="164" fontId="1" fillId="25" borderId="24" xfId="87" applyFont="1" applyFill="1" applyBorder="1" applyAlignment="1" applyProtection="1">
      <alignment vertical="center" shrinkToFit="1"/>
    </xf>
    <xf numFmtId="164" fontId="1" fillId="25" borderId="24"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789">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ill>
        <patternFill patternType="none">
          <bgColor indexed="65"/>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4.emf"/><Relationship Id="rId1" Type="http://schemas.openxmlformats.org/officeDocument/2006/relationships/image" Target="../media/image8.emf"/><Relationship Id="rId5" Type="http://schemas.openxmlformats.org/officeDocument/2006/relationships/image" Target="../media/image2.emf"/><Relationship Id="rId4"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9.emf"/><Relationship Id="rId1" Type="http://schemas.openxmlformats.org/officeDocument/2006/relationships/image" Target="../media/image8.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6.emf"/><Relationship Id="rId1" Type="http://schemas.openxmlformats.org/officeDocument/2006/relationships/image" Target="../media/image10.emf"/><Relationship Id="rId4"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1.emf"/><Relationship Id="rId1"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a:extLst>
                <a:ext uri="{FF2B5EF4-FFF2-40B4-BE49-F238E27FC236}">
                  <a16:creationId xmlns:a16="http://schemas.microsoft.com/office/drawing/2014/main" id="{00000000-0008-0000-0100-000099630200}"/>
                </a:ext>
              </a:extLst>
            </xdr:cNvPr>
            <xdr:cNvPicPr>
              <a:picLocks noChangeArrowheads="1"/>
              <a:extLst>
                <a:ext uri="{84589F7E-364E-4C9E-8A38-B11213B215E9}">
                  <a14:cameraTool cellRange="PO!$T$1:$T$2" spid="_x0000_s156266"/>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a:extLst>
                <a:ext uri="{FF2B5EF4-FFF2-40B4-BE49-F238E27FC236}">
                  <a16:creationId xmlns:a16="http://schemas.microsoft.com/office/drawing/2014/main" id="{00000000-0008-0000-0200-0000B9070300}"/>
                </a:ext>
              </a:extLst>
            </xdr:cNvPr>
            <xdr:cNvPicPr>
              <a:picLocks noChangeArrowheads="1"/>
              <a:extLst>
                <a:ext uri="{84589F7E-364E-4C9E-8A38-B11213B215E9}">
                  <a14:cameraTool cellRange="DADOS!$A$220:$X$230" spid="_x0000_s209214"/>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13</xdr:col>
          <xdr:colOff>3686175</xdr:colOff>
          <xdr:row>131</xdr:row>
          <xdr:rowOff>0</xdr:rowOff>
        </xdr:from>
        <xdr:to>
          <xdr:col>19</xdr:col>
          <xdr:colOff>123825</xdr:colOff>
          <xdr:row>135</xdr:row>
          <xdr:rowOff>142875</xdr:rowOff>
        </xdr:to>
        <xdr:pic>
          <xdr:nvPicPr>
            <xdr:cNvPr id="198588" name="Picture 483">
              <a:extLst>
                <a:ext uri="{FF2B5EF4-FFF2-40B4-BE49-F238E27FC236}">
                  <a16:creationId xmlns:a16="http://schemas.microsoft.com/office/drawing/2014/main" id="{00000000-0008-0000-0200-0000BC070300}"/>
                </a:ext>
              </a:extLst>
            </xdr:cNvPr>
            <xdr:cNvPicPr>
              <a:picLocks noChangeArrowheads="1"/>
              <a:extLst>
                <a:ext uri="{84589F7E-364E-4C9E-8A38-B11213B215E9}">
                  <a14:cameraTool cellRange="DADOS!$A$53:$K$57" spid="_x0000_s209215"/>
                </a:ext>
              </a:extLst>
            </xdr:cNvPicPr>
          </xdr:nvPicPr>
          <xdr:blipFill>
            <a:blip xmlns:r="http://schemas.openxmlformats.org/officeDocument/2006/relationships" r:embed="rId2"/>
            <a:srcRect/>
            <a:stretch>
              <a:fillRect/>
            </a:stretch>
          </xdr:blipFill>
          <xdr:spPr bwMode="auto">
            <a:xfrm>
              <a:off x="7210425" y="20728781"/>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a:extLst>
                <a:ext uri="{FF2B5EF4-FFF2-40B4-BE49-F238E27FC236}">
                  <a16:creationId xmlns:a16="http://schemas.microsoft.com/office/drawing/2014/main" id="{00000000-0008-0000-0300-0000E20A0300}"/>
                </a:ext>
              </a:extLst>
            </xdr:cNvPr>
            <xdr:cNvPicPr>
              <a:picLocks noChangeArrowheads="1"/>
              <a:extLst>
                <a:ext uri="{84589F7E-364E-4C9E-8A38-B11213B215E9}">
                  <a14:cameraTool cellRange="DADOS!$A$220:$X$230" spid="_x0000_s213405"/>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a:extLst>
                <a:ext uri="{FF2B5EF4-FFF2-40B4-BE49-F238E27FC236}">
                  <a16:creationId xmlns:a16="http://schemas.microsoft.com/office/drawing/2014/main" id="{00000000-0008-0000-0300-0000E30A0300}"/>
                </a:ext>
              </a:extLst>
            </xdr:cNvPr>
            <xdr:cNvPicPr>
              <a:picLocks noChangeArrowheads="1"/>
              <a:extLst>
                <a:ext uri="{84589F7E-364E-4C9E-8A38-B11213B215E9}">
                  <a14:cameraTool cellRange="DADOS!$A$220:$X$230" spid="_x0000_s213406"/>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122</xdr:row>
          <xdr:rowOff>9525</xdr:rowOff>
        </xdr:from>
        <xdr:to>
          <xdr:col>14</xdr:col>
          <xdr:colOff>28575</xdr:colOff>
          <xdr:row>126</xdr:row>
          <xdr:rowOff>152400</xdr:rowOff>
        </xdr:to>
        <xdr:pic>
          <xdr:nvPicPr>
            <xdr:cNvPr id="199399" name="Picture 483">
              <a:extLst>
                <a:ext uri="{FF2B5EF4-FFF2-40B4-BE49-F238E27FC236}">
                  <a16:creationId xmlns:a16="http://schemas.microsoft.com/office/drawing/2014/main" id="{00000000-0008-0000-0300-0000E70A0300}"/>
                </a:ext>
              </a:extLst>
            </xdr:cNvPr>
            <xdr:cNvPicPr>
              <a:picLocks noChangeArrowheads="1"/>
              <a:extLst>
                <a:ext uri="{84589F7E-364E-4C9E-8A38-B11213B215E9}">
                  <a14:cameraTool cellRange="DADOS!$A$53:$K$57" spid="_x0000_s213407"/>
                </a:ext>
              </a:extLst>
            </xdr:cNvPicPr>
          </xdr:nvPicPr>
          <xdr:blipFill>
            <a:blip xmlns:r="http://schemas.openxmlformats.org/officeDocument/2006/relationships" r:embed="rId3"/>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a:extLst>
                <a:ext uri="{FF2B5EF4-FFF2-40B4-BE49-F238E27FC236}">
                  <a16:creationId xmlns:a16="http://schemas.microsoft.com/office/drawing/2014/main" id="{00000000-0008-0000-0300-0000E80A0300}"/>
                </a:ext>
              </a:extLst>
            </xdr:cNvPr>
            <xdr:cNvPicPr>
              <a:picLocks noChangeArrowheads="1"/>
              <a:extLst>
                <a:ext uri="{84589F7E-364E-4C9E-8A38-B11213B215E9}">
                  <a14:cameraTool cellRange="PO!$T$1:$T$2" spid="_x0000_s213408"/>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a:extLst>
                <a:ext uri="{FF2B5EF4-FFF2-40B4-BE49-F238E27FC236}">
                  <a16:creationId xmlns:a16="http://schemas.microsoft.com/office/drawing/2014/main" id="{00000000-0008-0000-0400-0000E00F0300}"/>
                </a:ext>
              </a:extLst>
            </xdr:cNvPr>
            <xdr:cNvPicPr>
              <a:picLocks noChangeArrowheads="1"/>
              <a:extLst>
                <a:ext uri="{84589F7E-364E-4C9E-8A38-B11213B215E9}">
                  <a14:cameraTool cellRange="DADOS!$A$220:$X$230" spid="_x0000_s215816"/>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a:extLst>
                <a:ext uri="{FF2B5EF4-FFF2-40B4-BE49-F238E27FC236}">
                  <a16:creationId xmlns:a16="http://schemas.microsoft.com/office/drawing/2014/main" id="{00000000-0008-0000-0400-0000E10F0300}"/>
                </a:ext>
              </a:extLst>
            </xdr:cNvPr>
            <xdr:cNvPicPr>
              <a:picLocks noChangeArrowheads="1"/>
              <a:extLst>
                <a:ext uri="{84589F7E-364E-4C9E-8A38-B11213B215E9}">
                  <a14:cameraTool cellRange="DADOS!$A$220:$X$230" spid="_x0000_s215817"/>
                </a:ext>
              </a:extLst>
            </xdr:cNvPicPr>
          </xdr:nvPicPr>
          <xdr:blipFill>
            <a:blip xmlns:r="http://schemas.openxmlformats.org/officeDocument/2006/relationships" r:embed="rId1"/>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82</xdr:row>
          <xdr:rowOff>0</xdr:rowOff>
        </xdr:from>
        <xdr:to>
          <xdr:col>22</xdr:col>
          <xdr:colOff>28575</xdr:colOff>
          <xdr:row>86</xdr:row>
          <xdr:rowOff>142875</xdr:rowOff>
        </xdr:to>
        <xdr:pic>
          <xdr:nvPicPr>
            <xdr:cNvPr id="200674" name="Picture 483">
              <a:extLst>
                <a:ext uri="{FF2B5EF4-FFF2-40B4-BE49-F238E27FC236}">
                  <a16:creationId xmlns:a16="http://schemas.microsoft.com/office/drawing/2014/main" id="{00000000-0008-0000-0400-0000E20F0300}"/>
                </a:ext>
              </a:extLst>
            </xdr:cNvPr>
            <xdr:cNvPicPr>
              <a:picLocks noChangeArrowheads="1"/>
              <a:extLst>
                <a:ext uri="{84589F7E-364E-4C9E-8A38-B11213B215E9}">
                  <a14:cameraTool cellRange="DADOS!$A$53:$K$57" spid="_x0000_s215818"/>
                </a:ext>
              </a:extLst>
            </xdr:cNvPicPr>
          </xdr:nvPicPr>
          <xdr:blipFill>
            <a:blip xmlns:r="http://schemas.openxmlformats.org/officeDocument/2006/relationships" r:embed="rId2"/>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a:extLst>
                <a:ext uri="{FF2B5EF4-FFF2-40B4-BE49-F238E27FC236}">
                  <a16:creationId xmlns:a16="http://schemas.microsoft.com/office/drawing/2014/main" id="{00000000-0008-0000-0400-0000E30F0300}"/>
                </a:ext>
              </a:extLst>
            </xdr:cNvPr>
            <xdr:cNvPicPr>
              <a:picLocks noChangeArrowheads="1"/>
              <a:extLst>
                <a:ext uri="{84589F7E-364E-4C9E-8A38-B11213B215E9}">
                  <a14:cameraTool cellRange="PO!$T$1:$T$2" spid="_x0000_s215819"/>
                </a:ext>
              </a:extLst>
            </xdr:cNvPicPr>
          </xdr:nvPicPr>
          <xdr:blipFill>
            <a:blip xmlns:r="http://schemas.openxmlformats.org/officeDocument/2006/relationships" r:embed="rId3"/>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82</xdr:row>
          <xdr:rowOff>0</xdr:rowOff>
        </xdr:from>
        <xdr:to>
          <xdr:col>23</xdr:col>
          <xdr:colOff>0</xdr:colOff>
          <xdr:row>86</xdr:row>
          <xdr:rowOff>142875</xdr:rowOff>
        </xdr:to>
        <xdr:pic>
          <xdr:nvPicPr>
            <xdr:cNvPr id="200676" name="Picture 483">
              <a:extLst>
                <a:ext uri="{FF2B5EF4-FFF2-40B4-BE49-F238E27FC236}">
                  <a16:creationId xmlns:a16="http://schemas.microsoft.com/office/drawing/2014/main" id="{00000000-0008-0000-0400-0000E40F0300}"/>
                </a:ext>
              </a:extLst>
            </xdr:cNvPr>
            <xdr:cNvPicPr>
              <a:picLocks noChangeArrowheads="1"/>
              <a:extLst>
                <a:ext uri="{84589F7E-364E-4C9E-8A38-B11213B215E9}">
                  <a14:cameraTool cellRange="DADOS!$A$53:$K$57" spid="_x0000_s215820"/>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a:extLst>
                <a:ext uri="{FF2B5EF4-FFF2-40B4-BE49-F238E27FC236}">
                  <a16:creationId xmlns:a16="http://schemas.microsoft.com/office/drawing/2014/main" id="{00000000-0008-0000-0400-0000E50F0300}"/>
                </a:ext>
              </a:extLst>
            </xdr:cNvPr>
            <xdr:cNvPicPr>
              <a:picLocks noChangeArrowheads="1"/>
              <a:extLst>
                <a:ext uri="{84589F7E-364E-4C9E-8A38-B11213B215E9}">
                  <a14:cameraTool cellRange="PO!$T$1:$T$2" spid="_x0000_s215821"/>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82</xdr:row>
          <xdr:rowOff>0</xdr:rowOff>
        </xdr:from>
        <xdr:to>
          <xdr:col>23</xdr:col>
          <xdr:colOff>0</xdr:colOff>
          <xdr:row>86</xdr:row>
          <xdr:rowOff>142875</xdr:rowOff>
        </xdr:to>
        <xdr:pic>
          <xdr:nvPicPr>
            <xdr:cNvPr id="200678" name="Picture 483">
              <a:extLst>
                <a:ext uri="{FF2B5EF4-FFF2-40B4-BE49-F238E27FC236}">
                  <a16:creationId xmlns:a16="http://schemas.microsoft.com/office/drawing/2014/main" id="{00000000-0008-0000-0400-0000E60F0300}"/>
                </a:ext>
              </a:extLst>
            </xdr:cNvPr>
            <xdr:cNvPicPr>
              <a:picLocks noChangeArrowheads="1"/>
              <a:extLst>
                <a:ext uri="{84589F7E-364E-4C9E-8A38-B11213B215E9}">
                  <a14:cameraTool cellRange="DADOS!$A$53:$K$57" spid="_x0000_s215822"/>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a:extLst>
                <a:ext uri="{FF2B5EF4-FFF2-40B4-BE49-F238E27FC236}">
                  <a16:creationId xmlns:a16="http://schemas.microsoft.com/office/drawing/2014/main" id="{00000000-0008-0000-0400-0000E70F0300}"/>
                </a:ext>
              </a:extLst>
            </xdr:cNvPr>
            <xdr:cNvPicPr>
              <a:picLocks noChangeArrowheads="1"/>
              <a:extLst>
                <a:ext uri="{84589F7E-364E-4C9E-8A38-B11213B215E9}">
                  <a14:cameraTool cellRange="PO!$T$1:$T$2" spid="_x0000_s215823"/>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82</xdr:row>
          <xdr:rowOff>0</xdr:rowOff>
        </xdr:from>
        <xdr:to>
          <xdr:col>23</xdr:col>
          <xdr:colOff>0</xdr:colOff>
          <xdr:row>86</xdr:row>
          <xdr:rowOff>142875</xdr:rowOff>
        </xdr:to>
        <xdr:pic>
          <xdr:nvPicPr>
            <xdr:cNvPr id="200680" name="Picture 483">
              <a:extLst>
                <a:ext uri="{FF2B5EF4-FFF2-40B4-BE49-F238E27FC236}">
                  <a16:creationId xmlns:a16="http://schemas.microsoft.com/office/drawing/2014/main" id="{00000000-0008-0000-0400-0000E80F0300}"/>
                </a:ext>
              </a:extLst>
            </xdr:cNvPr>
            <xdr:cNvPicPr>
              <a:picLocks noChangeArrowheads="1"/>
              <a:extLst>
                <a:ext uri="{84589F7E-364E-4C9E-8A38-B11213B215E9}">
                  <a14:cameraTool cellRange="DADOS!$A$53:$K$57" spid="_x0000_s215824"/>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a:extLst>
                <a:ext uri="{FF2B5EF4-FFF2-40B4-BE49-F238E27FC236}">
                  <a16:creationId xmlns:a16="http://schemas.microsoft.com/office/drawing/2014/main" id="{00000000-0008-0000-0400-0000E90F0300}"/>
                </a:ext>
              </a:extLst>
            </xdr:cNvPr>
            <xdr:cNvPicPr>
              <a:picLocks noChangeArrowheads="1"/>
              <a:extLst>
                <a:ext uri="{84589F7E-364E-4C9E-8A38-B11213B215E9}">
                  <a14:cameraTool cellRange="PO!$T$1:$T$2" spid="_x0000_s215825"/>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82</xdr:row>
          <xdr:rowOff>0</xdr:rowOff>
        </xdr:from>
        <xdr:to>
          <xdr:col>23</xdr:col>
          <xdr:colOff>0</xdr:colOff>
          <xdr:row>86</xdr:row>
          <xdr:rowOff>142875</xdr:rowOff>
        </xdr:to>
        <xdr:pic>
          <xdr:nvPicPr>
            <xdr:cNvPr id="200682" name="Picture 483">
              <a:extLst>
                <a:ext uri="{FF2B5EF4-FFF2-40B4-BE49-F238E27FC236}">
                  <a16:creationId xmlns:a16="http://schemas.microsoft.com/office/drawing/2014/main" id="{00000000-0008-0000-0400-0000EA0F0300}"/>
                </a:ext>
              </a:extLst>
            </xdr:cNvPr>
            <xdr:cNvPicPr>
              <a:picLocks noChangeArrowheads="1"/>
              <a:extLst>
                <a:ext uri="{84589F7E-364E-4C9E-8A38-B11213B215E9}">
                  <a14:cameraTool cellRange="DADOS!$A$53:$K$57" spid="_x0000_s215826"/>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a:extLst>
                <a:ext uri="{FF2B5EF4-FFF2-40B4-BE49-F238E27FC236}">
                  <a16:creationId xmlns:a16="http://schemas.microsoft.com/office/drawing/2014/main" id="{00000000-0008-0000-0400-0000EB0F0300}"/>
                </a:ext>
              </a:extLst>
            </xdr:cNvPr>
            <xdr:cNvPicPr>
              <a:picLocks noChangeArrowheads="1"/>
              <a:extLst>
                <a:ext uri="{84589F7E-364E-4C9E-8A38-B11213B215E9}">
                  <a14:cameraTool cellRange="PO!$T$1:$T$2" spid="_x0000_s215827"/>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82</xdr:row>
          <xdr:rowOff>0</xdr:rowOff>
        </xdr:from>
        <xdr:to>
          <xdr:col>23</xdr:col>
          <xdr:colOff>0</xdr:colOff>
          <xdr:row>86</xdr:row>
          <xdr:rowOff>142875</xdr:rowOff>
        </xdr:to>
        <xdr:pic>
          <xdr:nvPicPr>
            <xdr:cNvPr id="200684" name="Picture 483">
              <a:extLst>
                <a:ext uri="{FF2B5EF4-FFF2-40B4-BE49-F238E27FC236}">
                  <a16:creationId xmlns:a16="http://schemas.microsoft.com/office/drawing/2014/main" id="{00000000-0008-0000-0400-0000EC0F0300}"/>
                </a:ext>
              </a:extLst>
            </xdr:cNvPr>
            <xdr:cNvPicPr>
              <a:picLocks noChangeArrowheads="1"/>
              <a:extLst>
                <a:ext uri="{84589F7E-364E-4C9E-8A38-B11213B215E9}">
                  <a14:cameraTool cellRange="DADOS!$A$53:$K$57" spid="_x0000_s215828"/>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a:extLst>
                <a:ext uri="{FF2B5EF4-FFF2-40B4-BE49-F238E27FC236}">
                  <a16:creationId xmlns:a16="http://schemas.microsoft.com/office/drawing/2014/main" id="{00000000-0008-0000-0400-0000ED0F0300}"/>
                </a:ext>
              </a:extLst>
            </xdr:cNvPr>
            <xdr:cNvPicPr>
              <a:picLocks noChangeArrowheads="1"/>
              <a:extLst>
                <a:ext uri="{84589F7E-364E-4C9E-8A38-B11213B215E9}">
                  <a14:cameraTool cellRange="PO!$T$1:$T$2" spid="_x0000_s215829"/>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25" zoomScaleNormal="100" zoomScaleSheetLayoutView="100" workbookViewId="0">
      <selection activeCell="A39" sqref="A39"/>
    </sheetView>
  </sheetViews>
  <sheetFormatPr defaultColWidth="9.109375" defaultRowHeight="13.2" x14ac:dyDescent="0.25"/>
  <cols>
    <col min="1" max="2" width="8.6640625" style="5" customWidth="1"/>
    <col min="3" max="5" width="8.6640625" customWidth="1"/>
    <col min="6" max="8" width="8.6640625" style="4" customWidth="1"/>
    <col min="9" max="24" width="8.6640625" customWidth="1"/>
  </cols>
  <sheetData>
    <row r="1" spans="1:25" ht="12.75" customHeight="1" x14ac:dyDescent="0.25">
      <c r="A1" s="88">
        <v>27476</v>
      </c>
      <c r="B1" s="222" t="s">
        <v>2</v>
      </c>
      <c r="C1" s="222"/>
      <c r="D1" s="222"/>
      <c r="E1" s="222"/>
      <c r="F1" s="222"/>
      <c r="G1" s="222"/>
      <c r="H1" s="222"/>
      <c r="I1" s="222"/>
      <c r="J1" s="222"/>
      <c r="K1" s="222"/>
      <c r="L1" s="222"/>
      <c r="M1" s="222"/>
      <c r="N1" s="222"/>
      <c r="O1" s="222"/>
      <c r="P1" s="222"/>
      <c r="Q1" s="222"/>
      <c r="R1" s="222"/>
      <c r="S1" s="222"/>
      <c r="T1" s="222"/>
      <c r="U1" s="222"/>
      <c r="V1" s="222"/>
      <c r="W1" s="222"/>
      <c r="X1" s="223"/>
    </row>
    <row r="2" spans="1:25" ht="13.5" customHeight="1" x14ac:dyDescent="0.25">
      <c r="A2" s="90" t="s">
        <v>228</v>
      </c>
      <c r="B2" s="224"/>
      <c r="C2" s="224"/>
      <c r="D2" s="224"/>
      <c r="E2" s="224"/>
      <c r="F2" s="224"/>
      <c r="G2" s="224"/>
      <c r="H2" s="224"/>
      <c r="I2" s="224"/>
      <c r="J2" s="224"/>
      <c r="K2" s="224"/>
      <c r="L2" s="224"/>
      <c r="M2" s="224"/>
      <c r="N2" s="224"/>
      <c r="O2" s="224"/>
      <c r="P2" s="224"/>
      <c r="Q2" s="224"/>
      <c r="R2" s="224"/>
      <c r="S2" s="224"/>
      <c r="T2" s="224"/>
      <c r="U2" s="224"/>
      <c r="V2" s="224"/>
      <c r="W2" s="224"/>
      <c r="X2" s="225"/>
    </row>
    <row r="3" spans="1:25" ht="13.5" customHeight="1" x14ac:dyDescent="0.25">
      <c r="A3"/>
      <c r="B3"/>
      <c r="F3"/>
      <c r="G3"/>
      <c r="H3"/>
    </row>
    <row r="4" spans="1:25" ht="12.75" customHeight="1" x14ac:dyDescent="0.25">
      <c r="A4" s="234" t="s">
        <v>168</v>
      </c>
      <c r="B4" s="234"/>
      <c r="C4" s="234"/>
      <c r="D4" s="234"/>
      <c r="E4" s="234"/>
      <c r="F4" s="234"/>
      <c r="G4" s="234"/>
      <c r="H4" s="234"/>
      <c r="I4" s="234"/>
      <c r="J4" s="234"/>
      <c r="K4" s="234"/>
      <c r="L4" s="234"/>
      <c r="M4" s="234"/>
      <c r="N4" s="234"/>
      <c r="O4" s="234"/>
      <c r="P4" s="234"/>
      <c r="Q4" s="234"/>
      <c r="R4" s="234"/>
      <c r="S4" s="234"/>
      <c r="T4" s="234"/>
      <c r="U4" s="234"/>
      <c r="V4" s="234"/>
      <c r="W4" s="234"/>
      <c r="X4" s="234"/>
    </row>
    <row r="6" spans="1:25" s="5" customFormat="1" ht="24.9" customHeight="1" x14ac:dyDescent="0.25">
      <c r="A6" s="235" t="s">
        <v>179</v>
      </c>
      <c r="B6" s="236"/>
      <c r="C6" s="236"/>
      <c r="D6" s="236"/>
      <c r="E6" s="236"/>
      <c r="F6" s="236"/>
      <c r="G6" s="236"/>
      <c r="H6" s="236"/>
      <c r="I6" s="236"/>
      <c r="J6" s="236"/>
      <c r="K6" s="236"/>
      <c r="L6" s="236"/>
      <c r="M6" s="236"/>
      <c r="N6" s="236"/>
      <c r="O6" s="236"/>
      <c r="P6" s="236"/>
      <c r="Q6" s="236"/>
      <c r="R6" s="236"/>
      <c r="S6" s="236"/>
      <c r="T6" s="236"/>
      <c r="U6" s="236"/>
      <c r="V6" s="236"/>
      <c r="W6" s="236"/>
      <c r="X6" s="236"/>
    </row>
    <row r="7" spans="1:25" ht="12.75" customHeight="1" x14ac:dyDescent="0.25"/>
    <row r="8" spans="1:25" ht="12.75" customHeight="1" x14ac:dyDescent="0.25">
      <c r="A8" s="237" t="s">
        <v>23</v>
      </c>
      <c r="B8" s="237"/>
      <c r="C8" s="237"/>
      <c r="D8" s="237"/>
      <c r="E8" s="237"/>
      <c r="F8" s="237"/>
      <c r="G8" s="237"/>
      <c r="H8" s="237"/>
      <c r="I8" s="237"/>
      <c r="J8" s="237"/>
      <c r="K8" s="237"/>
      <c r="L8" s="237"/>
      <c r="M8" s="237"/>
      <c r="N8" s="237"/>
      <c r="O8" s="237"/>
      <c r="P8" s="237"/>
      <c r="Q8" s="237"/>
      <c r="R8" s="237"/>
      <c r="S8" s="237"/>
      <c r="T8" s="237"/>
      <c r="U8" s="237"/>
      <c r="V8" s="237"/>
      <c r="W8" s="237"/>
      <c r="X8" s="237"/>
      <c r="Y8" s="16"/>
    </row>
    <row r="9" spans="1:25" ht="6" customHeight="1" x14ac:dyDescent="0.25">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5">
      <c r="A10" s="239" t="s">
        <v>169</v>
      </c>
      <c r="B10" s="239"/>
      <c r="C10" s="239"/>
      <c r="D10" s="239"/>
      <c r="E10" s="239"/>
      <c r="F10" s="239"/>
      <c r="G10" s="239"/>
      <c r="H10" s="239"/>
      <c r="I10" s="239"/>
      <c r="J10" s="239"/>
      <c r="K10" s="239"/>
      <c r="L10" s="239"/>
      <c r="M10" s="239"/>
      <c r="N10" s="239"/>
      <c r="O10" s="239"/>
      <c r="P10" s="239"/>
      <c r="Q10" s="239"/>
      <c r="R10" s="239"/>
      <c r="S10" s="239"/>
      <c r="T10" s="239"/>
      <c r="U10" s="239"/>
      <c r="V10" s="239"/>
      <c r="W10" s="239"/>
      <c r="X10" s="239"/>
    </row>
    <row r="11" spans="1:25" ht="6" customHeight="1" x14ac:dyDescent="0.25">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 customHeight="1" x14ac:dyDescent="0.25">
      <c r="A12" s="239" t="s">
        <v>1</v>
      </c>
      <c r="B12" s="239"/>
      <c r="C12" s="239"/>
      <c r="D12" s="239"/>
      <c r="E12" s="239"/>
      <c r="F12" s="239"/>
      <c r="G12" s="239"/>
      <c r="H12" s="239"/>
      <c r="I12" s="239"/>
      <c r="J12" s="239"/>
      <c r="K12" s="239"/>
      <c r="L12" s="239"/>
      <c r="M12" s="239"/>
      <c r="N12" s="239"/>
      <c r="O12" s="239"/>
      <c r="P12" s="239"/>
      <c r="Q12" s="239"/>
      <c r="R12" s="239"/>
      <c r="S12" s="239"/>
      <c r="T12" s="239"/>
      <c r="U12" s="239"/>
      <c r="V12" s="239"/>
      <c r="W12" s="239"/>
      <c r="X12" s="239"/>
    </row>
    <row r="14" spans="1:25" x14ac:dyDescent="0.25">
      <c r="A14" s="238" t="s">
        <v>24</v>
      </c>
      <c r="B14" s="237"/>
      <c r="C14" s="237"/>
      <c r="D14" s="237"/>
      <c r="E14" s="237"/>
      <c r="F14" s="237"/>
      <c r="G14" s="237"/>
      <c r="H14" s="237"/>
      <c r="I14" s="237"/>
      <c r="J14" s="237"/>
      <c r="K14" s="237"/>
      <c r="L14" s="237"/>
      <c r="M14" s="237"/>
      <c r="N14" s="237"/>
      <c r="O14" s="237"/>
      <c r="P14" s="237"/>
      <c r="Q14" s="237"/>
      <c r="R14" s="237"/>
      <c r="S14" s="237"/>
      <c r="T14" s="237"/>
      <c r="U14" s="237"/>
      <c r="V14" s="237"/>
      <c r="W14" s="237"/>
      <c r="X14" s="237"/>
    </row>
    <row r="16" spans="1:25" x14ac:dyDescent="0.25">
      <c r="A16" s="209" t="s">
        <v>186</v>
      </c>
      <c r="B16" s="210"/>
      <c r="C16" s="210"/>
      <c r="D16" s="210"/>
      <c r="E16" s="210"/>
      <c r="F16" s="210"/>
      <c r="G16" s="210"/>
      <c r="H16" s="210"/>
      <c r="I16" s="210"/>
      <c r="J16" s="210"/>
      <c r="K16" s="210"/>
      <c r="L16" s="210"/>
      <c r="M16" s="210"/>
      <c r="N16" s="210"/>
      <c r="O16" s="210"/>
      <c r="P16" s="210"/>
      <c r="Q16" s="210"/>
      <c r="R16" s="210"/>
      <c r="S16" s="210"/>
      <c r="T16" s="210"/>
      <c r="U16" s="210"/>
      <c r="V16" s="210"/>
      <c r="W16" s="210"/>
      <c r="X16" s="210"/>
    </row>
    <row r="17" spans="1:25" ht="6" customHeight="1" x14ac:dyDescent="0.25">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5">
      <c r="A18" s="211" t="s">
        <v>187</v>
      </c>
      <c r="B18" s="211"/>
      <c r="C18" s="212"/>
      <c r="D18" s="212"/>
      <c r="E18" s="212"/>
      <c r="F18" s="212"/>
      <c r="G18" s="212"/>
      <c r="H18" s="212"/>
      <c r="I18" s="212"/>
      <c r="J18" s="212"/>
      <c r="K18" s="212"/>
      <c r="L18" s="212"/>
      <c r="M18" s="212"/>
      <c r="N18" s="212"/>
      <c r="O18" s="212"/>
      <c r="P18" s="212"/>
      <c r="Q18" s="212"/>
      <c r="R18" s="212"/>
      <c r="S18" s="212"/>
      <c r="T18" s="212"/>
      <c r="U18" s="212"/>
      <c r="V18" s="212"/>
      <c r="W18" s="212"/>
      <c r="X18" s="212"/>
    </row>
    <row r="21" spans="1:25" x14ac:dyDescent="0.25">
      <c r="A21"/>
    </row>
    <row r="22" spans="1:25" ht="12.75" customHeight="1" x14ac:dyDescent="0.25">
      <c r="A22" s="209" t="s">
        <v>189</v>
      </c>
      <c r="B22" s="210"/>
      <c r="C22" s="210"/>
      <c r="D22" s="210"/>
      <c r="E22" s="210"/>
      <c r="F22" s="210"/>
      <c r="G22" s="210"/>
      <c r="H22" s="210"/>
      <c r="I22" s="210"/>
      <c r="J22" s="190"/>
      <c r="K22" s="190"/>
      <c r="L22" s="190"/>
      <c r="M22" s="190"/>
      <c r="N22" s="190"/>
      <c r="O22" s="190"/>
      <c r="P22" s="190"/>
      <c r="Q22" s="190"/>
      <c r="R22" s="190"/>
      <c r="S22" s="190"/>
      <c r="T22" s="190"/>
      <c r="U22" s="190"/>
      <c r="V22" s="190"/>
      <c r="W22" s="190"/>
      <c r="X22" s="190"/>
      <c r="Y22" s="190"/>
    </row>
    <row r="23" spans="1:25" ht="6" customHeight="1" x14ac:dyDescent="0.25">
      <c r="A23" s="38"/>
      <c r="B23"/>
      <c r="F23"/>
      <c r="G23"/>
      <c r="H23"/>
    </row>
    <row r="24" spans="1:25" ht="12.75" customHeight="1" x14ac:dyDescent="0.25">
      <c r="A24" s="211" t="s">
        <v>190</v>
      </c>
      <c r="B24" s="211"/>
      <c r="C24" s="212"/>
      <c r="D24" s="212"/>
      <c r="E24" s="212"/>
      <c r="F24" s="212"/>
      <c r="G24" s="212"/>
      <c r="H24" s="212"/>
      <c r="I24" s="212"/>
      <c r="J24" s="212"/>
      <c r="K24" s="212"/>
      <c r="L24" s="212"/>
      <c r="M24" s="212"/>
      <c r="N24" s="212"/>
      <c r="O24" s="212"/>
      <c r="P24" s="212"/>
      <c r="Q24" s="212"/>
      <c r="R24" s="212"/>
      <c r="S24" s="212"/>
      <c r="T24" s="212"/>
      <c r="U24" s="212"/>
      <c r="V24" s="212"/>
      <c r="W24" s="212"/>
      <c r="X24" s="212"/>
    </row>
    <row r="25" spans="1:25" ht="6" customHeight="1" x14ac:dyDescent="0.25">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5">
      <c r="A26" s="207" t="s">
        <v>191</v>
      </c>
      <c r="B26" s="207"/>
      <c r="C26" s="208"/>
      <c r="D26" s="208"/>
      <c r="E26" s="208"/>
      <c r="F26" s="208"/>
      <c r="G26" s="208"/>
      <c r="H26" s="208"/>
      <c r="I26" s="208"/>
      <c r="J26" s="208"/>
      <c r="K26" s="208"/>
      <c r="L26" s="208"/>
      <c r="M26" s="208"/>
      <c r="N26" s="208"/>
      <c r="O26" s="208"/>
      <c r="P26" s="208"/>
      <c r="Q26" s="208"/>
      <c r="R26" s="208"/>
      <c r="S26" s="208"/>
      <c r="T26" s="208"/>
      <c r="U26" s="208"/>
      <c r="V26" s="208"/>
      <c r="W26" s="208"/>
      <c r="X26" s="208"/>
    </row>
    <row r="27" spans="1:25" ht="6" customHeight="1" x14ac:dyDescent="0.25">
      <c r="A27" s="17"/>
      <c r="B27" s="17"/>
    </row>
    <row r="28" spans="1:25" ht="12.75" customHeight="1" x14ac:dyDescent="0.25">
      <c r="A28" s="205" t="s">
        <v>177</v>
      </c>
      <c r="B28" s="213"/>
      <c r="C28" s="205" t="s">
        <v>170</v>
      </c>
      <c r="D28" s="206"/>
      <c r="E28" s="213"/>
      <c r="F28" s="205" t="s">
        <v>171</v>
      </c>
      <c r="G28" s="206"/>
      <c r="H28" s="206"/>
      <c r="I28" s="213"/>
      <c r="J28" s="205" t="s">
        <v>172</v>
      </c>
      <c r="K28" s="206"/>
      <c r="L28" s="206"/>
      <c r="M28" s="206"/>
      <c r="N28" s="206"/>
      <c r="O28" s="213"/>
      <c r="P28" s="205" t="s">
        <v>0</v>
      </c>
      <c r="Q28" s="206"/>
      <c r="R28" s="206"/>
      <c r="S28" s="206"/>
      <c r="T28" s="206"/>
      <c r="U28" s="206"/>
      <c r="V28" s="206"/>
      <c r="W28" s="206"/>
      <c r="X28" s="213"/>
    </row>
    <row r="29" spans="1:25" ht="12.75" customHeight="1" x14ac:dyDescent="0.25">
      <c r="A29" s="200"/>
      <c r="B29" s="214"/>
      <c r="C29" s="200"/>
      <c r="D29" s="201"/>
      <c r="E29" s="202"/>
      <c r="F29" s="200"/>
      <c r="G29" s="269"/>
      <c r="H29" s="269"/>
      <c r="I29" s="214"/>
      <c r="J29" s="200"/>
      <c r="K29" s="269"/>
      <c r="L29" s="269"/>
      <c r="M29" s="269"/>
      <c r="N29" s="269"/>
      <c r="O29" s="214"/>
      <c r="P29" s="200" t="s">
        <v>250</v>
      </c>
      <c r="Q29" s="269"/>
      <c r="R29" s="269"/>
      <c r="S29" s="269"/>
      <c r="T29" s="269"/>
      <c r="U29" s="269"/>
      <c r="V29" s="269"/>
      <c r="W29" s="269"/>
      <c r="X29" s="214"/>
    </row>
    <row r="30" spans="1:25" ht="6" customHeight="1" x14ac:dyDescent="0.25">
      <c r="A30"/>
      <c r="B30"/>
      <c r="F30"/>
      <c r="G30"/>
      <c r="H30"/>
    </row>
    <row r="31" spans="1:25" x14ac:dyDescent="0.25">
      <c r="A31" s="205" t="s">
        <v>173</v>
      </c>
      <c r="B31" s="206"/>
      <c r="C31" s="206"/>
      <c r="D31" s="206"/>
      <c r="E31" s="206"/>
      <c r="F31" s="213"/>
      <c r="G31" s="205" t="s">
        <v>174</v>
      </c>
      <c r="H31" s="206"/>
      <c r="I31" s="206"/>
      <c r="J31" s="213"/>
      <c r="K31" s="205" t="s">
        <v>175</v>
      </c>
      <c r="L31" s="206"/>
      <c r="M31" s="206"/>
      <c r="N31" s="206"/>
      <c r="O31" s="206"/>
      <c r="P31" s="213"/>
      <c r="Q31" s="205" t="s">
        <v>180</v>
      </c>
      <c r="R31" s="206"/>
      <c r="S31" s="206"/>
      <c r="T31" s="206"/>
      <c r="U31" s="206"/>
      <c r="V31" s="206"/>
      <c r="W31" s="206"/>
      <c r="X31" s="213"/>
    </row>
    <row r="32" spans="1:25" x14ac:dyDescent="0.25">
      <c r="A32" s="270" t="s">
        <v>230</v>
      </c>
      <c r="B32" s="271"/>
      <c r="C32" s="271"/>
      <c r="D32" s="271"/>
      <c r="E32" s="271"/>
      <c r="F32" s="272"/>
      <c r="G32" s="200" t="s">
        <v>232</v>
      </c>
      <c r="H32" s="201"/>
      <c r="I32" s="201"/>
      <c r="J32" s="202"/>
      <c r="K32" s="200" t="s">
        <v>251</v>
      </c>
      <c r="L32" s="269"/>
      <c r="M32" s="269"/>
      <c r="N32" s="269"/>
      <c r="O32" s="269"/>
      <c r="P32" s="214"/>
      <c r="Q32" s="200" t="s">
        <v>250</v>
      </c>
      <c r="R32" s="269"/>
      <c r="S32" s="269"/>
      <c r="T32" s="269"/>
      <c r="U32" s="269"/>
      <c r="V32" s="269"/>
      <c r="W32" s="269"/>
      <c r="X32" s="214"/>
    </row>
    <row r="33" spans="1:24" ht="9" customHeight="1" x14ac:dyDescent="0.25"/>
    <row r="34" spans="1:24" s="19" customFormat="1" x14ac:dyDescent="0.25"/>
    <row r="35" spans="1:24" ht="12.75" customHeight="1" x14ac:dyDescent="0.25">
      <c r="A35" s="207" t="s">
        <v>192</v>
      </c>
      <c r="B35" s="207"/>
      <c r="C35" s="208"/>
      <c r="D35" s="208"/>
      <c r="E35" s="208"/>
      <c r="F35" s="208"/>
      <c r="G35" s="208"/>
      <c r="H35" s="208"/>
      <c r="I35" s="208"/>
      <c r="J35" s="208"/>
      <c r="K35" s="208"/>
      <c r="L35" s="208"/>
      <c r="M35" s="208"/>
      <c r="N35" s="208"/>
      <c r="O35" s="208"/>
      <c r="P35" s="208"/>
      <c r="Q35" s="208"/>
      <c r="R35" s="208"/>
      <c r="S35" s="208"/>
      <c r="T35" s="208"/>
      <c r="U35" s="208"/>
      <c r="V35" s="208"/>
      <c r="W35" s="208"/>
      <c r="X35" s="208"/>
    </row>
    <row r="36" spans="1:24" ht="6" customHeight="1" x14ac:dyDescent="0.25">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5">
      <c r="A37" s="205" t="s">
        <v>16</v>
      </c>
      <c r="B37" s="213"/>
      <c r="C37" s="78" t="s">
        <v>91</v>
      </c>
      <c r="D37" s="205" t="s">
        <v>14</v>
      </c>
      <c r="E37" s="206"/>
      <c r="F37" s="213"/>
      <c r="G37" s="205" t="s">
        <v>12</v>
      </c>
      <c r="H37" s="206"/>
      <c r="I37" s="206"/>
      <c r="J37" s="206"/>
      <c r="K37" s="206"/>
      <c r="L37" s="206"/>
      <c r="M37" s="206"/>
      <c r="N37" s="206"/>
      <c r="O37" s="206"/>
      <c r="P37" s="206"/>
      <c r="Q37" s="206"/>
      <c r="R37" s="206"/>
      <c r="S37" s="213"/>
      <c r="T37" s="79" t="s">
        <v>7</v>
      </c>
      <c r="U37" s="79" t="s">
        <v>8</v>
      </c>
      <c r="V37" s="79" t="s">
        <v>9</v>
      </c>
      <c r="W37" s="79" t="s">
        <v>10</v>
      </c>
      <c r="X37" s="79" t="s">
        <v>11</v>
      </c>
    </row>
    <row r="38" spans="1:24" ht="12.75" customHeight="1" x14ac:dyDescent="0.25">
      <c r="A38" s="218">
        <v>45575</v>
      </c>
      <c r="B38" s="219"/>
      <c r="C38" s="77" t="s">
        <v>234</v>
      </c>
      <c r="D38" s="200" t="s">
        <v>78</v>
      </c>
      <c r="E38" s="201"/>
      <c r="F38" s="202"/>
      <c r="G38" s="200" t="s">
        <v>250</v>
      </c>
      <c r="H38" s="201"/>
      <c r="I38" s="201"/>
      <c r="J38" s="201"/>
      <c r="K38" s="201"/>
      <c r="L38" s="201"/>
      <c r="M38" s="201"/>
      <c r="N38" s="201"/>
      <c r="O38" s="201"/>
      <c r="P38" s="201"/>
      <c r="Q38" s="201"/>
      <c r="R38" s="201"/>
      <c r="S38" s="202"/>
      <c r="T38" s="80">
        <f ca="1">IF(ISERROR(INDIRECT("'BDI ("&amp;RIGHT(T37,1)&amp;")'!N27")),"",INDIRECT("'BDI ("&amp;RIGHT(T37,1)&amp;")'!N27"))</f>
        <v>0.24</v>
      </c>
      <c r="U38" s="81" t="str">
        <f ca="1">IF(ISERROR(INDIRECT("'BDI ("&amp;RIGHT(U37,1)&amp;")'!N27")),"",INDIRECT("'BDI ("&amp;RIGHT(U37,1)&amp;")'!N27"))</f>
        <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5">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5">
      <c r="A40" s="207" t="s">
        <v>162</v>
      </c>
      <c r="B40" s="207"/>
      <c r="C40" s="208"/>
      <c r="D40" s="208"/>
      <c r="E40" s="208"/>
      <c r="F40" s="208"/>
      <c r="G40" s="208"/>
      <c r="H40" s="208"/>
      <c r="I40" s="208"/>
      <c r="J40" s="208"/>
      <c r="K40" s="208"/>
      <c r="L40" s="208"/>
      <c r="M40" s="208"/>
      <c r="N40" s="208"/>
      <c r="O40" s="208"/>
      <c r="P40" s="208"/>
      <c r="Q40" s="208"/>
      <c r="R40" s="208"/>
      <c r="S40" s="208"/>
      <c r="T40" s="208"/>
      <c r="U40" s="208"/>
      <c r="V40" s="208"/>
      <c r="W40" s="208"/>
      <c r="X40" s="208"/>
    </row>
    <row r="41" spans="1:24" ht="6" customHeight="1" x14ac:dyDescent="0.25">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5">
      <c r="A42" s="205" t="s">
        <v>87</v>
      </c>
      <c r="B42" s="213"/>
      <c r="C42" s="205" t="s">
        <v>111</v>
      </c>
      <c r="D42" s="206"/>
      <c r="E42" s="206"/>
      <c r="F42" s="206"/>
      <c r="G42" s="206"/>
      <c r="H42" s="205" t="s">
        <v>16</v>
      </c>
      <c r="I42" s="206"/>
      <c r="J42" s="20" t="s">
        <v>91</v>
      </c>
      <c r="K42" s="205" t="s">
        <v>88</v>
      </c>
      <c r="L42" s="206"/>
      <c r="M42" s="213"/>
      <c r="N42" s="20" t="s">
        <v>92</v>
      </c>
      <c r="O42" s="205" t="s">
        <v>93</v>
      </c>
      <c r="P42" s="206"/>
      <c r="Q42" s="206"/>
      <c r="R42" s="206"/>
      <c r="S42" s="206"/>
      <c r="T42" s="213"/>
      <c r="U42" s="220" t="s">
        <v>89</v>
      </c>
      <c r="V42" s="221"/>
      <c r="W42" s="220" t="s">
        <v>90</v>
      </c>
      <c r="X42" s="221"/>
    </row>
    <row r="43" spans="1:24" ht="12.75" customHeight="1" x14ac:dyDescent="0.25">
      <c r="A43" s="241"/>
      <c r="B43" s="242"/>
      <c r="C43" s="200"/>
      <c r="D43" s="201"/>
      <c r="E43" s="201"/>
      <c r="F43" s="201"/>
      <c r="G43" s="201"/>
      <c r="H43" s="218"/>
      <c r="I43" s="219"/>
      <c r="J43" s="74"/>
      <c r="K43" s="273"/>
      <c r="L43" s="274"/>
      <c r="M43" s="275"/>
      <c r="N43" s="89"/>
      <c r="O43" s="229"/>
      <c r="P43" s="230"/>
      <c r="Q43" s="230"/>
      <c r="R43" s="231"/>
      <c r="S43" s="231"/>
      <c r="T43" s="232"/>
      <c r="U43" s="227"/>
      <c r="V43" s="233"/>
      <c r="W43" s="227"/>
      <c r="X43" s="228"/>
    </row>
    <row r="44" spans="1:24" ht="12.75" customHeight="1" x14ac:dyDescent="0.25">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5">
      <c r="A45" s="207" t="s">
        <v>193</v>
      </c>
      <c r="B45" s="207"/>
      <c r="C45" s="208"/>
      <c r="D45" s="208"/>
      <c r="E45" s="208"/>
      <c r="F45" s="208"/>
      <c r="G45" s="208"/>
      <c r="H45" s="208"/>
      <c r="I45" s="208"/>
      <c r="J45" s="208"/>
      <c r="K45" s="208"/>
      <c r="L45" s="208"/>
      <c r="M45" s="208"/>
      <c r="N45" s="208"/>
      <c r="O45" s="208"/>
      <c r="P45" s="208"/>
      <c r="Q45" s="208"/>
      <c r="R45" s="208"/>
      <c r="S45" s="208"/>
      <c r="T45" s="208"/>
      <c r="U45" s="208"/>
      <c r="V45" s="208"/>
      <c r="W45" s="208"/>
      <c r="X45" s="208"/>
    </row>
    <row r="46" spans="1:24" ht="6" customHeight="1" x14ac:dyDescent="0.25">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5">
      <c r="A47" s="20" t="s">
        <v>15</v>
      </c>
      <c r="B47" s="21"/>
      <c r="C47" s="22"/>
      <c r="F47"/>
      <c r="G47"/>
      <c r="H47"/>
    </row>
    <row r="48" spans="1:24" x14ac:dyDescent="0.25">
      <c r="A48" s="253">
        <v>45566</v>
      </c>
      <c r="B48" s="254"/>
      <c r="C48" s="255"/>
      <c r="E48" s="29"/>
      <c r="F48"/>
      <c r="G48"/>
      <c r="H48"/>
    </row>
    <row r="49" spans="1:24" x14ac:dyDescent="0.25">
      <c r="F49" s="25"/>
      <c r="G49" s="26"/>
      <c r="H49" s="27"/>
    </row>
    <row r="50" spans="1:24" x14ac:dyDescent="0.25">
      <c r="A50" s="207" t="s">
        <v>194</v>
      </c>
      <c r="B50" s="207"/>
      <c r="C50" s="208"/>
      <c r="D50" s="208"/>
      <c r="E50" s="208"/>
      <c r="F50" s="208"/>
      <c r="G50" s="208"/>
      <c r="H50" s="208"/>
      <c r="I50" s="208"/>
      <c r="J50" s="208"/>
      <c r="K50" s="208"/>
      <c r="L50" s="208"/>
      <c r="M50" s="208"/>
      <c r="N50" s="208"/>
      <c r="O50" s="208"/>
      <c r="P50" s="208"/>
      <c r="Q50" s="208"/>
      <c r="R50" s="208"/>
      <c r="S50" s="208"/>
      <c r="T50" s="208"/>
      <c r="U50" s="208"/>
      <c r="V50" s="208"/>
      <c r="W50" s="208"/>
      <c r="X50" s="208"/>
    </row>
    <row r="51" spans="1:24" x14ac:dyDescent="0.25">
      <c r="A51" s="18"/>
      <c r="B51" s="18"/>
      <c r="C51" s="24"/>
      <c r="D51" s="24"/>
      <c r="E51" s="24"/>
      <c r="F51" s="24"/>
      <c r="G51" s="24"/>
      <c r="H51" s="24"/>
      <c r="I51" s="24"/>
      <c r="J51" s="24"/>
      <c r="K51" s="24"/>
      <c r="L51" s="24"/>
    </row>
    <row r="52" spans="1:24" x14ac:dyDescent="0.25">
      <c r="A52" s="18"/>
      <c r="B52" s="18"/>
      <c r="C52" s="24"/>
      <c r="D52" s="24"/>
      <c r="E52" s="24"/>
      <c r="F52" s="24"/>
      <c r="G52" s="5" t="s">
        <v>18</v>
      </c>
      <c r="H52" s="24"/>
      <c r="I52" s="24"/>
      <c r="K52" s="72" t="s">
        <v>229</v>
      </c>
      <c r="L52" s="24"/>
    </row>
    <row r="53" spans="1:24" x14ac:dyDescent="0.25">
      <c r="A53" s="30"/>
      <c r="B53" s="30"/>
      <c r="C53" s="31"/>
      <c r="D53" s="31"/>
      <c r="E53" s="31"/>
      <c r="F53" s="25"/>
      <c r="G53" s="30"/>
      <c r="H53" s="30"/>
      <c r="I53" s="31"/>
      <c r="J53" s="31"/>
      <c r="K53" s="31"/>
    </row>
    <row r="54" spans="1:24" x14ac:dyDescent="0.25">
      <c r="A54" s="86" t="s">
        <v>140</v>
      </c>
      <c r="B54" s="256"/>
      <c r="C54" s="257"/>
      <c r="D54" s="257"/>
      <c r="E54" s="257"/>
      <c r="F54" s="25"/>
      <c r="G54" s="86" t="s">
        <v>140</v>
      </c>
      <c r="H54" s="257"/>
      <c r="I54" s="257"/>
      <c r="J54" s="257"/>
      <c r="K54" s="257"/>
    </row>
    <row r="55" spans="1:24" x14ac:dyDescent="0.25">
      <c r="A55" s="86" t="str">
        <f>IF(OR(TipoOrçamento="BASE",TipoOrçamento="REPROGRAMADONPL"),"Título:","Cargo:")</f>
        <v>Cargo:</v>
      </c>
      <c r="B55" s="256"/>
      <c r="C55" s="257"/>
      <c r="D55" s="257"/>
      <c r="E55" s="257"/>
      <c r="F55" s="25"/>
      <c r="G55" s="86" t="str">
        <f>A55</f>
        <v>Cargo:</v>
      </c>
      <c r="H55" s="257"/>
      <c r="I55" s="257"/>
      <c r="J55" s="257"/>
      <c r="K55" s="257"/>
    </row>
    <row r="56" spans="1:24" x14ac:dyDescent="0.25">
      <c r="A56" s="86" t="str">
        <f>IF(OR(TipoOrçamento="BASE",TipoOrçamento="REPROGRAMADONPL"),"CREA/CAU:","Empresa:")</f>
        <v>Empresa:</v>
      </c>
      <c r="B56" s="240"/>
      <c r="C56" s="226"/>
      <c r="D56" s="226"/>
      <c r="E56" s="226"/>
      <c r="F56" s="25"/>
      <c r="G56" s="86" t="str">
        <f>A56</f>
        <v>Empresa:</v>
      </c>
      <c r="H56" s="226"/>
      <c r="I56" s="226"/>
      <c r="J56" s="226"/>
      <c r="K56" s="226"/>
    </row>
    <row r="57" spans="1:24" x14ac:dyDescent="0.25">
      <c r="A57" s="86" t="str">
        <f>IF(OR(TipoOrçamento="BASE",TipoOrçamento="REPROGRAMADONPL"),"ART/RRT:","CNPJ:")</f>
        <v>CNPJ:</v>
      </c>
      <c r="B57" s="240"/>
      <c r="C57" s="226"/>
      <c r="D57" s="226"/>
      <c r="E57" s="226"/>
      <c r="F57" s="25"/>
      <c r="G57" s="86" t="str">
        <f>A57</f>
        <v>CNPJ:</v>
      </c>
      <c r="H57" s="226"/>
      <c r="I57" s="226"/>
      <c r="J57" s="226"/>
      <c r="K57" s="226"/>
    </row>
    <row r="58" spans="1:24" x14ac:dyDescent="0.25">
      <c r="F58" s="25"/>
      <c r="G58" s="26"/>
      <c r="H58" s="27"/>
    </row>
    <row r="59" spans="1:24" x14ac:dyDescent="0.25">
      <c r="F59" s="25"/>
      <c r="G59" s="26"/>
      <c r="H59" s="27"/>
    </row>
    <row r="60" spans="1:24" ht="12.75" customHeight="1" x14ac:dyDescent="0.25">
      <c r="A60" s="211" t="s">
        <v>195</v>
      </c>
      <c r="B60" s="211"/>
      <c r="C60" s="212"/>
      <c r="D60" s="212"/>
      <c r="E60" s="212"/>
      <c r="F60" s="212"/>
      <c r="G60" s="212"/>
      <c r="H60" s="212"/>
      <c r="I60" s="212"/>
      <c r="J60" s="212"/>
      <c r="K60" s="212"/>
      <c r="L60" s="212"/>
      <c r="M60" s="212"/>
      <c r="N60" s="212"/>
      <c r="O60" s="212"/>
      <c r="P60" s="212"/>
      <c r="Q60" s="212"/>
      <c r="R60" s="212"/>
      <c r="S60" s="212"/>
      <c r="T60" s="212"/>
      <c r="U60" s="212"/>
      <c r="V60" s="212"/>
      <c r="W60" s="212"/>
      <c r="X60" s="212"/>
    </row>
    <row r="61" spans="1:24" x14ac:dyDescent="0.25">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5">
      <c r="A62" s="215" t="s">
        <v>196</v>
      </c>
      <c r="B62" s="216"/>
      <c r="C62" s="217"/>
      <c r="D62" s="217"/>
      <c r="E62" s="217"/>
      <c r="F62" s="217"/>
      <c r="G62" s="217"/>
      <c r="H62" s="217"/>
      <c r="I62" s="217"/>
      <c r="J62" s="217"/>
      <c r="K62" s="217"/>
      <c r="L62" s="217"/>
      <c r="M62" s="217"/>
      <c r="N62" s="217"/>
      <c r="O62" s="217"/>
      <c r="P62" s="217"/>
      <c r="Q62" s="217"/>
      <c r="R62" s="217"/>
      <c r="S62" s="217"/>
      <c r="T62" s="217"/>
      <c r="U62" s="217"/>
      <c r="V62" s="217"/>
      <c r="W62" s="217"/>
      <c r="X62" s="217"/>
    </row>
    <row r="63" spans="1:24" ht="30" customHeight="1" x14ac:dyDescent="0.25">
      <c r="A63" s="215" t="s">
        <v>197</v>
      </c>
      <c r="B63" s="215"/>
      <c r="C63" s="258"/>
      <c r="D63" s="258"/>
      <c r="E63" s="258"/>
      <c r="F63" s="258"/>
      <c r="G63" s="258"/>
      <c r="H63" s="258"/>
      <c r="I63" s="258"/>
      <c r="J63" s="258"/>
      <c r="K63" s="258"/>
      <c r="L63" s="258"/>
      <c r="M63" s="258"/>
      <c r="N63" s="258"/>
      <c r="O63" s="258"/>
      <c r="P63" s="258"/>
      <c r="Q63" s="258"/>
      <c r="R63" s="258"/>
      <c r="S63" s="258"/>
      <c r="T63" s="258"/>
      <c r="U63" s="258"/>
      <c r="V63" s="258"/>
      <c r="W63" s="258"/>
      <c r="X63" s="258"/>
    </row>
    <row r="64" spans="1:24" x14ac:dyDescent="0.25">
      <c r="F64" s="25"/>
      <c r="G64" s="26"/>
      <c r="H64" s="27"/>
    </row>
    <row r="65" spans="1:24" ht="12.75" customHeight="1" x14ac:dyDescent="0.25">
      <c r="A65" s="211" t="s">
        <v>198</v>
      </c>
      <c r="B65" s="211"/>
      <c r="C65" s="212"/>
      <c r="D65" s="212"/>
      <c r="E65" s="212"/>
      <c r="F65" s="212"/>
      <c r="G65" s="212"/>
      <c r="H65" s="212"/>
      <c r="I65" s="212"/>
      <c r="J65" s="212"/>
      <c r="K65" s="212"/>
      <c r="L65" s="212"/>
      <c r="M65" s="212"/>
      <c r="N65" s="212"/>
      <c r="O65" s="212"/>
      <c r="P65" s="212"/>
      <c r="Q65" s="212"/>
      <c r="R65" s="212"/>
      <c r="S65" s="212"/>
      <c r="T65" s="212"/>
      <c r="U65" s="212"/>
      <c r="V65" s="212"/>
      <c r="W65" s="212"/>
      <c r="X65" s="212"/>
    </row>
    <row r="66" spans="1:24" x14ac:dyDescent="0.25">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5">
      <c r="A67" s="207" t="s">
        <v>199</v>
      </c>
      <c r="B67" s="207"/>
      <c r="C67" s="208"/>
      <c r="D67" s="208"/>
      <c r="E67" s="208"/>
      <c r="F67" s="208"/>
      <c r="G67" s="208"/>
      <c r="H67" s="208"/>
      <c r="I67" s="208"/>
      <c r="J67" s="208"/>
      <c r="K67" s="208"/>
      <c r="L67" s="208"/>
      <c r="M67" s="208"/>
      <c r="N67" s="208"/>
      <c r="O67" s="208"/>
      <c r="P67" s="208"/>
      <c r="Q67" s="208"/>
      <c r="R67" s="208"/>
      <c r="S67" s="208"/>
      <c r="T67" s="208"/>
      <c r="U67" s="208"/>
      <c r="V67" s="208"/>
      <c r="W67" s="208"/>
      <c r="X67" s="208"/>
    </row>
    <row r="68" spans="1:24" x14ac:dyDescent="0.25">
      <c r="A68" s="207" t="s">
        <v>200</v>
      </c>
      <c r="B68" s="207"/>
      <c r="C68" s="208"/>
      <c r="D68" s="208"/>
      <c r="E68" s="208"/>
      <c r="F68" s="208"/>
      <c r="G68" s="208"/>
      <c r="H68" s="208"/>
      <c r="I68" s="208"/>
      <c r="J68" s="208"/>
      <c r="K68" s="208"/>
      <c r="L68" s="208"/>
      <c r="M68" s="208"/>
      <c r="N68" s="208"/>
      <c r="O68" s="208"/>
      <c r="P68" s="208"/>
      <c r="Q68" s="208"/>
      <c r="R68" s="208"/>
      <c r="S68" s="208"/>
      <c r="T68" s="208"/>
      <c r="U68" s="208"/>
      <c r="V68" s="208"/>
      <c r="W68" s="208"/>
      <c r="X68" s="208"/>
    </row>
    <row r="69" spans="1:24" ht="12.75" customHeight="1" x14ac:dyDescent="0.25">
      <c r="A69" s="207" t="s">
        <v>201</v>
      </c>
      <c r="B69" s="207"/>
      <c r="C69" s="208"/>
      <c r="D69" s="208"/>
      <c r="E69" s="208"/>
      <c r="F69" s="208"/>
      <c r="G69" s="208"/>
      <c r="H69" s="208"/>
      <c r="I69" s="208"/>
      <c r="J69" s="208"/>
      <c r="K69" s="208"/>
      <c r="L69" s="208"/>
      <c r="M69" s="208"/>
      <c r="N69" s="208"/>
      <c r="O69" s="208"/>
      <c r="P69" s="208"/>
      <c r="Q69" s="208"/>
      <c r="R69" s="208"/>
      <c r="S69" s="208"/>
      <c r="T69" s="208"/>
      <c r="U69" s="208"/>
      <c r="V69" s="208"/>
      <c r="W69" s="208"/>
      <c r="X69" s="208"/>
    </row>
    <row r="70" spans="1:24" ht="12.75" customHeight="1" x14ac:dyDescent="0.25">
      <c r="A70" s="207" t="s">
        <v>202</v>
      </c>
      <c r="B70" s="207"/>
      <c r="C70" s="208"/>
      <c r="D70" s="208"/>
      <c r="E70" s="208"/>
      <c r="F70" s="208"/>
      <c r="G70" s="208"/>
      <c r="H70" s="208"/>
      <c r="I70" s="208"/>
      <c r="J70" s="208"/>
      <c r="K70" s="208"/>
      <c r="L70" s="208"/>
      <c r="M70" s="208"/>
      <c r="N70" s="208"/>
      <c r="O70" s="208"/>
      <c r="P70" s="208"/>
      <c r="Q70" s="208"/>
      <c r="R70" s="208"/>
      <c r="S70" s="208"/>
      <c r="T70" s="208"/>
      <c r="U70" s="208"/>
      <c r="V70" s="208"/>
      <c r="W70" s="208"/>
      <c r="X70" s="208"/>
    </row>
    <row r="71" spans="1:24" ht="12.75" customHeight="1" x14ac:dyDescent="0.25">
      <c r="A71" s="207" t="s">
        <v>203</v>
      </c>
      <c r="B71" s="207"/>
      <c r="C71" s="208"/>
      <c r="D71" s="208"/>
      <c r="E71" s="208"/>
      <c r="F71" s="208"/>
      <c r="G71" s="208"/>
      <c r="H71" s="208"/>
      <c r="I71" s="208"/>
      <c r="J71" s="208"/>
      <c r="K71" s="208"/>
      <c r="L71" s="208"/>
      <c r="M71" s="208"/>
      <c r="N71" s="208"/>
      <c r="O71" s="208"/>
      <c r="P71" s="208"/>
      <c r="Q71" s="208"/>
      <c r="R71" s="208"/>
      <c r="S71" s="208"/>
      <c r="T71" s="208"/>
      <c r="U71" s="208"/>
      <c r="V71" s="208"/>
      <c r="W71" s="208"/>
      <c r="X71" s="208"/>
    </row>
    <row r="72" spans="1:24" ht="12.75" customHeight="1" x14ac:dyDescent="0.25">
      <c r="A72" s="207" t="s">
        <v>204</v>
      </c>
      <c r="B72" s="207"/>
      <c r="C72" s="208"/>
      <c r="D72" s="208"/>
      <c r="E72" s="208"/>
      <c r="F72" s="208"/>
      <c r="G72" s="208"/>
      <c r="H72" s="208"/>
      <c r="I72" s="208"/>
      <c r="J72" s="208"/>
      <c r="K72" s="208"/>
      <c r="L72" s="208"/>
      <c r="M72" s="208"/>
      <c r="N72" s="208"/>
      <c r="O72" s="208"/>
      <c r="P72" s="208"/>
      <c r="Q72" s="208"/>
      <c r="R72" s="208"/>
      <c r="S72" s="208"/>
      <c r="T72" s="208"/>
      <c r="U72" s="208"/>
      <c r="V72" s="208"/>
      <c r="W72" s="208"/>
      <c r="X72" s="208"/>
    </row>
    <row r="73" spans="1:24" x14ac:dyDescent="0.25">
      <c r="F73" s="25"/>
      <c r="G73" s="26"/>
      <c r="H73" s="27"/>
    </row>
    <row r="74" spans="1:24" ht="12.75" customHeight="1" x14ac:dyDescent="0.25">
      <c r="A74" s="211" t="s">
        <v>205</v>
      </c>
      <c r="B74" s="211"/>
      <c r="C74" s="212"/>
      <c r="D74" s="212"/>
      <c r="E74" s="212"/>
      <c r="F74" s="212"/>
      <c r="G74" s="212"/>
      <c r="H74" s="212"/>
      <c r="I74" s="212"/>
      <c r="J74" s="212"/>
      <c r="K74" s="212"/>
      <c r="L74" s="212"/>
      <c r="M74" s="212"/>
      <c r="N74" s="212"/>
      <c r="O74" s="212"/>
      <c r="P74" s="212"/>
      <c r="Q74" s="212"/>
      <c r="R74" s="212"/>
      <c r="S74" s="212"/>
      <c r="T74" s="212"/>
      <c r="U74" s="212"/>
      <c r="V74" s="212"/>
      <c r="W74" s="212"/>
      <c r="X74" s="212"/>
    </row>
    <row r="75" spans="1:24" x14ac:dyDescent="0.25">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5">
      <c r="A76" s="207" t="s">
        <v>206</v>
      </c>
      <c r="B76" s="207"/>
      <c r="C76" s="208"/>
      <c r="D76" s="208"/>
      <c r="E76" s="208"/>
      <c r="F76" s="208"/>
      <c r="G76" s="208"/>
      <c r="H76" s="208"/>
      <c r="I76" s="208"/>
      <c r="J76" s="208"/>
      <c r="K76" s="208"/>
      <c r="L76" s="208"/>
      <c r="M76" s="208"/>
      <c r="N76" s="208"/>
      <c r="O76" s="208"/>
      <c r="P76" s="208"/>
      <c r="Q76" s="208"/>
      <c r="R76" s="208"/>
      <c r="S76" s="208"/>
      <c r="T76" s="208"/>
      <c r="U76" s="208"/>
      <c r="V76" s="208"/>
      <c r="W76" s="208"/>
      <c r="X76" s="208"/>
    </row>
    <row r="77" spans="1:24" ht="26.1" customHeight="1" x14ac:dyDescent="0.25">
      <c r="A77" s="203" t="s">
        <v>207</v>
      </c>
      <c r="B77" s="203"/>
      <c r="C77" s="204"/>
      <c r="D77" s="204"/>
      <c r="E77" s="204"/>
      <c r="F77" s="204"/>
      <c r="G77" s="204"/>
      <c r="H77" s="204"/>
      <c r="I77" s="204"/>
      <c r="J77" s="204"/>
      <c r="K77" s="204"/>
      <c r="L77" s="204"/>
      <c r="M77" s="204"/>
      <c r="N77" s="204"/>
      <c r="O77" s="204"/>
      <c r="P77" s="204"/>
      <c r="Q77" s="204"/>
      <c r="R77" s="204"/>
      <c r="S77" s="204"/>
      <c r="T77" s="204"/>
      <c r="U77" s="204"/>
      <c r="V77" s="204"/>
      <c r="W77" s="204"/>
      <c r="X77" s="204"/>
    </row>
    <row r="78" spans="1:24" ht="12.75" customHeight="1" x14ac:dyDescent="0.25">
      <c r="A78" s="207" t="s">
        <v>208</v>
      </c>
      <c r="B78" s="207"/>
      <c r="C78" s="208"/>
      <c r="D78" s="208"/>
      <c r="E78" s="208"/>
      <c r="F78" s="208"/>
      <c r="G78" s="208"/>
      <c r="H78" s="208"/>
      <c r="I78" s="208"/>
      <c r="J78" s="208"/>
      <c r="K78" s="208"/>
      <c r="L78" s="208"/>
      <c r="M78" s="208"/>
      <c r="N78" s="208"/>
      <c r="O78" s="208"/>
      <c r="P78" s="208"/>
      <c r="Q78" s="208"/>
      <c r="R78" s="208"/>
      <c r="S78" s="208"/>
      <c r="T78" s="208"/>
      <c r="U78" s="208"/>
      <c r="V78" s="208"/>
      <c r="W78" s="208"/>
      <c r="X78" s="208"/>
    </row>
    <row r="79" spans="1:24" ht="25.5" customHeight="1" x14ac:dyDescent="0.25">
      <c r="A79" s="207" t="s">
        <v>209</v>
      </c>
      <c r="B79" s="207"/>
      <c r="C79" s="208"/>
      <c r="D79" s="208"/>
      <c r="E79" s="208"/>
      <c r="F79" s="208"/>
      <c r="G79" s="208"/>
      <c r="H79" s="208"/>
      <c r="I79" s="208"/>
      <c r="J79" s="208"/>
      <c r="K79" s="208"/>
      <c r="L79" s="208"/>
      <c r="M79" s="208"/>
      <c r="N79" s="208"/>
      <c r="O79" s="208"/>
      <c r="P79" s="208"/>
      <c r="Q79" s="208"/>
      <c r="R79" s="208"/>
      <c r="S79" s="208"/>
      <c r="T79" s="208"/>
      <c r="U79" s="208"/>
      <c r="V79" s="208"/>
      <c r="W79" s="208"/>
      <c r="X79" s="208"/>
    </row>
    <row r="80" spans="1:24" x14ac:dyDescent="0.25">
      <c r="A80" s="203" t="s">
        <v>210</v>
      </c>
      <c r="B80" s="203"/>
      <c r="C80" s="204"/>
      <c r="D80" s="204"/>
      <c r="E80" s="204"/>
      <c r="F80" s="204"/>
      <c r="G80" s="204"/>
      <c r="H80" s="204"/>
      <c r="I80" s="204"/>
      <c r="J80" s="204"/>
      <c r="K80" s="204"/>
      <c r="L80" s="204"/>
      <c r="M80" s="204"/>
      <c r="N80" s="204"/>
      <c r="O80" s="204"/>
      <c r="P80" s="204"/>
      <c r="Q80" s="204"/>
      <c r="R80" s="204"/>
      <c r="S80" s="204"/>
      <c r="T80" s="204"/>
      <c r="U80" s="204"/>
      <c r="V80" s="204"/>
      <c r="W80" s="204"/>
      <c r="X80" s="204"/>
    </row>
    <row r="81" spans="1:24" ht="12.75" customHeight="1" x14ac:dyDescent="0.25">
      <c r="A81" s="207" t="s">
        <v>211</v>
      </c>
      <c r="B81" s="207"/>
      <c r="C81" s="208"/>
      <c r="D81" s="208"/>
      <c r="E81" s="208"/>
      <c r="F81" s="208"/>
      <c r="G81" s="208"/>
      <c r="H81" s="208"/>
      <c r="I81" s="208"/>
      <c r="J81" s="208"/>
      <c r="K81" s="208"/>
      <c r="L81" s="208"/>
      <c r="M81" s="208"/>
      <c r="N81" s="208"/>
      <c r="O81" s="208"/>
      <c r="P81" s="208"/>
      <c r="Q81" s="208"/>
      <c r="R81" s="208"/>
      <c r="S81" s="208"/>
      <c r="T81" s="208"/>
      <c r="U81" s="208"/>
      <c r="V81" s="208"/>
      <c r="W81" s="208"/>
      <c r="X81" s="208"/>
    </row>
    <row r="82" spans="1:24" ht="26.1" customHeight="1" x14ac:dyDescent="0.25">
      <c r="A82" s="207" t="s">
        <v>212</v>
      </c>
      <c r="B82" s="207"/>
      <c r="C82" s="208"/>
      <c r="D82" s="208"/>
      <c r="E82" s="208"/>
      <c r="F82" s="208"/>
      <c r="G82" s="208"/>
      <c r="H82" s="208"/>
      <c r="I82" s="208"/>
      <c r="J82" s="208"/>
      <c r="K82" s="208"/>
      <c r="L82" s="208"/>
      <c r="M82" s="208"/>
      <c r="N82" s="208"/>
      <c r="O82" s="208"/>
      <c r="P82" s="208"/>
      <c r="Q82" s="208"/>
      <c r="R82" s="208"/>
      <c r="S82" s="208"/>
      <c r="T82" s="208"/>
      <c r="U82" s="208"/>
      <c r="V82" s="208"/>
      <c r="W82" s="208"/>
      <c r="X82" s="208"/>
    </row>
    <row r="83" spans="1:24" ht="26.1" customHeight="1" x14ac:dyDescent="0.25">
      <c r="A83" s="207" t="s">
        <v>213</v>
      </c>
      <c r="B83" s="207"/>
      <c r="C83" s="208"/>
      <c r="D83" s="208"/>
      <c r="E83" s="208"/>
      <c r="F83" s="208"/>
      <c r="G83" s="208"/>
      <c r="H83" s="208"/>
      <c r="I83" s="208"/>
      <c r="J83" s="208"/>
      <c r="K83" s="208"/>
      <c r="L83" s="208"/>
      <c r="M83" s="208"/>
      <c r="N83" s="208"/>
      <c r="O83" s="208"/>
      <c r="P83" s="208"/>
      <c r="Q83" s="208"/>
      <c r="R83" s="208"/>
      <c r="S83" s="208"/>
      <c r="T83" s="208"/>
      <c r="U83" s="208"/>
      <c r="V83" s="208"/>
      <c r="W83" s="208"/>
      <c r="X83" s="208"/>
    </row>
    <row r="84" spans="1:24" ht="12.75" customHeight="1" x14ac:dyDescent="0.25">
      <c r="A84" s="207" t="s">
        <v>214</v>
      </c>
      <c r="B84" s="207"/>
      <c r="C84" s="208"/>
      <c r="D84" s="208"/>
      <c r="E84" s="208"/>
      <c r="F84" s="208"/>
      <c r="G84" s="208"/>
      <c r="H84" s="208"/>
      <c r="I84" s="208"/>
      <c r="J84" s="208"/>
      <c r="K84" s="208"/>
      <c r="L84" s="208"/>
      <c r="M84" s="208"/>
      <c r="N84" s="208"/>
      <c r="O84" s="208"/>
      <c r="P84" s="208"/>
      <c r="Q84" s="208"/>
      <c r="R84" s="208"/>
      <c r="S84" s="208"/>
      <c r="T84" s="208"/>
      <c r="U84" s="208"/>
      <c r="V84" s="208"/>
      <c r="W84" s="208"/>
      <c r="X84" s="208"/>
    </row>
    <row r="85" spans="1:24" x14ac:dyDescent="0.25">
      <c r="A85" s="207" t="s">
        <v>215</v>
      </c>
      <c r="B85" s="207"/>
      <c r="C85" s="208"/>
      <c r="D85" s="208"/>
      <c r="E85" s="208"/>
      <c r="F85" s="208"/>
      <c r="G85" s="208"/>
      <c r="H85" s="208"/>
      <c r="I85" s="208"/>
      <c r="J85" s="208"/>
      <c r="K85" s="208"/>
      <c r="L85" s="208"/>
      <c r="M85" s="208"/>
      <c r="N85" s="208"/>
      <c r="O85" s="208"/>
      <c r="P85" s="208"/>
      <c r="Q85" s="208"/>
      <c r="R85" s="208"/>
      <c r="S85" s="208"/>
      <c r="T85" s="208"/>
      <c r="U85" s="208"/>
      <c r="V85" s="208"/>
      <c r="W85" s="208"/>
      <c r="X85" s="208"/>
    </row>
    <row r="86" spans="1:24" ht="12.75" customHeight="1" x14ac:dyDescent="0.25">
      <c r="A86" s="203" t="s">
        <v>216</v>
      </c>
      <c r="B86" s="203"/>
      <c r="C86" s="204"/>
      <c r="D86" s="204"/>
      <c r="E86" s="204"/>
      <c r="F86" s="204"/>
      <c r="G86" s="204"/>
      <c r="H86" s="204"/>
      <c r="I86" s="204"/>
      <c r="J86" s="204"/>
      <c r="K86" s="204"/>
      <c r="L86" s="204"/>
      <c r="M86" s="204"/>
      <c r="N86" s="204"/>
      <c r="O86" s="204"/>
      <c r="P86" s="204"/>
      <c r="Q86" s="204"/>
      <c r="R86" s="204"/>
      <c r="S86" s="204"/>
      <c r="T86" s="204"/>
      <c r="U86" s="204"/>
      <c r="V86" s="204"/>
      <c r="W86" s="204"/>
      <c r="X86" s="204"/>
    </row>
    <row r="87" spans="1:24" x14ac:dyDescent="0.25">
      <c r="A87" s="207" t="s">
        <v>217</v>
      </c>
      <c r="B87" s="207"/>
      <c r="C87" s="208"/>
      <c r="D87" s="208"/>
      <c r="E87" s="208"/>
      <c r="F87" s="208"/>
      <c r="G87" s="208"/>
      <c r="H87" s="208"/>
      <c r="I87" s="208"/>
      <c r="J87" s="208"/>
      <c r="K87" s="208"/>
      <c r="L87" s="208"/>
      <c r="M87" s="208"/>
      <c r="N87" s="208"/>
      <c r="O87" s="208"/>
      <c r="P87" s="208"/>
      <c r="Q87" s="208"/>
      <c r="R87" s="208"/>
      <c r="S87" s="208"/>
      <c r="T87" s="208"/>
      <c r="U87" s="208"/>
      <c r="V87" s="208"/>
      <c r="W87" s="208"/>
      <c r="X87" s="208"/>
    </row>
    <row r="88" spans="1:24" x14ac:dyDescent="0.25">
      <c r="A88" s="207" t="s">
        <v>218</v>
      </c>
      <c r="B88" s="207"/>
      <c r="C88" s="208"/>
      <c r="D88" s="208"/>
      <c r="E88" s="208"/>
      <c r="F88" s="208"/>
      <c r="G88" s="208"/>
      <c r="H88" s="208"/>
      <c r="I88" s="208"/>
      <c r="J88" s="208"/>
      <c r="K88" s="208"/>
      <c r="L88" s="208"/>
      <c r="M88" s="208"/>
      <c r="N88" s="208"/>
      <c r="O88" s="208"/>
      <c r="P88" s="208"/>
      <c r="Q88" s="208"/>
      <c r="R88" s="208"/>
      <c r="S88" s="208"/>
      <c r="T88" s="208"/>
      <c r="U88" s="208"/>
      <c r="V88" s="208"/>
      <c r="W88" s="208"/>
      <c r="X88" s="208"/>
    </row>
    <row r="90" spans="1:24" x14ac:dyDescent="0.25">
      <c r="A90" s="211" t="s">
        <v>219</v>
      </c>
      <c r="B90" s="211"/>
      <c r="C90" s="212"/>
      <c r="D90" s="212"/>
      <c r="E90" s="212"/>
      <c r="F90" s="212"/>
      <c r="G90" s="212"/>
      <c r="H90" s="212"/>
      <c r="I90" s="212"/>
      <c r="J90" s="212"/>
      <c r="K90" s="212"/>
      <c r="L90" s="212"/>
      <c r="M90" s="212"/>
      <c r="N90" s="212"/>
      <c r="O90" s="212"/>
      <c r="P90" s="212"/>
      <c r="Q90" s="212"/>
      <c r="R90" s="212"/>
      <c r="S90" s="212"/>
      <c r="T90" s="212"/>
      <c r="U90" s="212"/>
      <c r="V90" s="212"/>
      <c r="W90" s="212"/>
      <c r="X90" s="212"/>
    </row>
    <row r="91" spans="1:24" x14ac:dyDescent="0.25">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5">
      <c r="A92" s="207" t="s">
        <v>220</v>
      </c>
      <c r="B92" s="207"/>
      <c r="C92" s="208"/>
      <c r="D92" s="208"/>
      <c r="E92" s="208"/>
      <c r="F92" s="208"/>
      <c r="G92" s="208"/>
      <c r="H92" s="208"/>
      <c r="I92" s="208"/>
      <c r="J92" s="208"/>
      <c r="K92" s="208"/>
      <c r="L92" s="208"/>
      <c r="M92" s="208"/>
      <c r="N92" s="208"/>
      <c r="O92" s="208"/>
      <c r="P92" s="208"/>
      <c r="Q92" s="208"/>
      <c r="R92" s="208"/>
      <c r="S92" s="208"/>
      <c r="T92" s="208"/>
      <c r="U92" s="208"/>
      <c r="V92" s="208"/>
      <c r="W92" s="208"/>
      <c r="X92" s="208"/>
    </row>
    <row r="93" spans="1:24" ht="12.75" customHeight="1" x14ac:dyDescent="0.25">
      <c r="A93" s="203" t="s">
        <v>221</v>
      </c>
      <c r="B93" s="203"/>
      <c r="C93" s="204"/>
      <c r="D93" s="204"/>
      <c r="E93" s="204"/>
      <c r="F93" s="204"/>
      <c r="G93" s="204"/>
      <c r="H93" s="204"/>
      <c r="I93" s="204"/>
      <c r="J93" s="204"/>
      <c r="K93" s="204"/>
      <c r="L93" s="204"/>
      <c r="M93" s="204"/>
      <c r="N93" s="204"/>
      <c r="O93" s="204"/>
      <c r="P93" s="204"/>
      <c r="Q93" s="204"/>
      <c r="R93" s="204"/>
      <c r="S93" s="204"/>
      <c r="T93" s="204"/>
      <c r="U93" s="204"/>
      <c r="V93" s="204"/>
      <c r="W93" s="204"/>
      <c r="X93" s="204"/>
    </row>
    <row r="94" spans="1:24" ht="12.75" customHeight="1" x14ac:dyDescent="0.25">
      <c r="A94" s="207" t="s">
        <v>222</v>
      </c>
      <c r="B94" s="207"/>
      <c r="C94" s="208"/>
      <c r="D94" s="208"/>
      <c r="E94" s="208"/>
      <c r="F94" s="208"/>
      <c r="G94" s="208"/>
      <c r="H94" s="208"/>
      <c r="I94" s="208"/>
      <c r="J94" s="208"/>
      <c r="K94" s="208"/>
      <c r="L94" s="208"/>
      <c r="M94" s="208"/>
      <c r="N94" s="208"/>
      <c r="O94" s="208"/>
      <c r="P94" s="208"/>
      <c r="Q94" s="208"/>
      <c r="R94" s="208"/>
      <c r="S94" s="208"/>
      <c r="T94" s="208"/>
      <c r="U94" s="208"/>
      <c r="V94" s="208"/>
      <c r="W94" s="208"/>
      <c r="X94" s="208"/>
    </row>
    <row r="95" spans="1:24" x14ac:dyDescent="0.25">
      <c r="A95" s="207" t="s">
        <v>223</v>
      </c>
      <c r="B95" s="207"/>
      <c r="C95" s="208"/>
      <c r="D95" s="208"/>
      <c r="E95" s="208"/>
      <c r="F95" s="208"/>
      <c r="G95" s="208"/>
      <c r="H95" s="208"/>
      <c r="I95" s="208"/>
      <c r="J95" s="208"/>
      <c r="K95" s="208"/>
      <c r="L95" s="208"/>
      <c r="M95" s="208"/>
      <c r="N95" s="208"/>
      <c r="O95" s="208"/>
      <c r="P95" s="208"/>
      <c r="Q95" s="208"/>
      <c r="R95" s="208"/>
      <c r="S95" s="208"/>
      <c r="T95" s="208"/>
      <c r="U95" s="208"/>
      <c r="V95" s="208"/>
      <c r="W95" s="208"/>
      <c r="X95" s="208"/>
    </row>
    <row r="96" spans="1:24" ht="12.75" customHeight="1" x14ac:dyDescent="0.25">
      <c r="A96" s="203"/>
      <c r="B96" s="203"/>
      <c r="C96" s="204"/>
      <c r="D96" s="204"/>
      <c r="E96" s="204"/>
      <c r="F96" s="204"/>
      <c r="G96" s="204"/>
      <c r="H96" s="204"/>
      <c r="I96" s="204"/>
      <c r="J96" s="204"/>
      <c r="K96" s="204"/>
      <c r="L96" s="204"/>
      <c r="M96" s="204"/>
      <c r="N96" s="204"/>
      <c r="O96" s="204"/>
      <c r="P96" s="204"/>
      <c r="Q96" s="204"/>
      <c r="R96" s="204"/>
      <c r="S96" s="204"/>
      <c r="T96" s="204"/>
      <c r="U96" s="204"/>
      <c r="V96" s="204"/>
      <c r="W96" s="204"/>
      <c r="X96" s="204"/>
    </row>
    <row r="97" spans="1:24" x14ac:dyDescent="0.25">
      <c r="A97" s="211" t="s">
        <v>224</v>
      </c>
      <c r="B97" s="211"/>
      <c r="C97" s="212"/>
      <c r="D97" s="212"/>
      <c r="E97" s="212"/>
      <c r="F97" s="212"/>
      <c r="G97" s="212"/>
      <c r="H97" s="212"/>
      <c r="I97" s="212"/>
      <c r="J97" s="212"/>
      <c r="K97" s="212"/>
      <c r="L97" s="212"/>
      <c r="M97" s="212"/>
      <c r="N97" s="212"/>
      <c r="O97" s="212"/>
      <c r="P97" s="212"/>
      <c r="Q97" s="212"/>
      <c r="R97" s="212"/>
      <c r="S97" s="212"/>
      <c r="T97" s="212"/>
      <c r="U97" s="212"/>
      <c r="V97" s="212"/>
      <c r="W97" s="212"/>
      <c r="X97" s="212"/>
    </row>
    <row r="98" spans="1:24" ht="12.75" customHeight="1" x14ac:dyDescent="0.25">
      <c r="A98" s="203"/>
      <c r="B98" s="203"/>
      <c r="C98" s="204"/>
      <c r="D98" s="204"/>
      <c r="E98" s="204"/>
      <c r="F98" s="204"/>
      <c r="G98" s="204"/>
      <c r="H98" s="204"/>
      <c r="I98" s="204"/>
      <c r="J98" s="204"/>
      <c r="K98" s="204"/>
      <c r="L98" s="204"/>
      <c r="M98" s="204"/>
      <c r="N98" s="204"/>
      <c r="O98" s="204"/>
      <c r="P98" s="204"/>
      <c r="Q98" s="204"/>
      <c r="R98" s="204"/>
      <c r="S98" s="204"/>
      <c r="T98" s="204"/>
      <c r="U98" s="204"/>
      <c r="V98" s="204"/>
      <c r="W98" s="204"/>
      <c r="X98" s="204"/>
    </row>
    <row r="99" spans="1:24" ht="12.75" customHeight="1" x14ac:dyDescent="0.25">
      <c r="A99" s="207" t="s">
        <v>225</v>
      </c>
      <c r="B99" s="207"/>
      <c r="C99" s="208"/>
      <c r="D99" s="208"/>
      <c r="E99" s="208"/>
      <c r="F99" s="208"/>
      <c r="G99" s="208"/>
      <c r="H99" s="208"/>
      <c r="I99" s="208"/>
      <c r="J99" s="208"/>
      <c r="K99" s="208"/>
      <c r="L99" s="208"/>
      <c r="M99" s="208"/>
      <c r="N99" s="208"/>
      <c r="O99" s="208"/>
      <c r="P99" s="208"/>
      <c r="Q99" s="208"/>
      <c r="R99" s="208"/>
      <c r="S99" s="208"/>
      <c r="T99" s="208"/>
      <c r="U99" s="208"/>
      <c r="V99" s="208"/>
      <c r="W99" s="208"/>
      <c r="X99" s="208"/>
    </row>
    <row r="100" spans="1:24" ht="12.75" customHeight="1" x14ac:dyDescent="0.25">
      <c r="A100" s="207" t="s">
        <v>226</v>
      </c>
      <c r="B100" s="207"/>
      <c r="C100" s="208"/>
      <c r="D100" s="208"/>
      <c r="E100" s="208"/>
      <c r="F100" s="208"/>
      <c r="G100" s="208"/>
      <c r="H100" s="208"/>
      <c r="I100" s="208"/>
      <c r="J100" s="208"/>
      <c r="K100" s="208"/>
      <c r="L100" s="208"/>
      <c r="M100" s="208"/>
      <c r="N100" s="208"/>
      <c r="O100" s="208"/>
      <c r="P100" s="208"/>
      <c r="Q100" s="208"/>
      <c r="R100" s="208"/>
      <c r="S100" s="208"/>
      <c r="T100" s="208"/>
      <c r="U100" s="208"/>
      <c r="V100" s="208"/>
      <c r="W100" s="208"/>
      <c r="X100" s="208"/>
    </row>
    <row r="101" spans="1:24" x14ac:dyDescent="0.25">
      <c r="A101" s="207" t="s">
        <v>227</v>
      </c>
      <c r="B101" s="207"/>
      <c r="C101" s="208"/>
      <c r="D101" s="208"/>
      <c r="E101" s="208"/>
      <c r="F101" s="208"/>
      <c r="G101" s="208"/>
      <c r="H101" s="208"/>
      <c r="I101" s="208"/>
      <c r="J101" s="208"/>
      <c r="K101" s="208"/>
      <c r="L101" s="208"/>
      <c r="M101" s="208"/>
      <c r="N101" s="208"/>
      <c r="O101" s="208"/>
      <c r="P101" s="208"/>
      <c r="Q101" s="208"/>
      <c r="R101" s="208"/>
      <c r="S101" s="208"/>
      <c r="T101" s="208"/>
      <c r="U101" s="208"/>
      <c r="V101" s="208"/>
      <c r="W101" s="208"/>
      <c r="X101" s="208"/>
    </row>
    <row r="102" spans="1:24" ht="12.75" customHeight="1" x14ac:dyDescent="0.25">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5">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5">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5">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5"/>
    <row r="107" spans="1:24" x14ac:dyDescent="0.25">
      <c r="A107"/>
      <c r="F107"/>
      <c r="H107" s="10"/>
      <c r="L107" s="1" t="s">
        <v>131</v>
      </c>
      <c r="O107" s="1"/>
      <c r="P107" s="10"/>
      <c r="Q107" s="1"/>
    </row>
    <row r="108" spans="1:24" ht="12.75" customHeight="1" x14ac:dyDescent="0.25">
      <c r="A108"/>
      <c r="F108"/>
      <c r="G108" s="23"/>
      <c r="H108" s="23"/>
      <c r="L108" s="1" t="s">
        <v>132</v>
      </c>
      <c r="P108" s="23"/>
      <c r="S108" s="175">
        <f ca="1">T38</f>
        <v>0.24</v>
      </c>
    </row>
    <row r="109" spans="1:24" x14ac:dyDescent="0.25">
      <c r="A109"/>
      <c r="F109"/>
      <c r="G109" s="23"/>
      <c r="H109" s="23"/>
      <c r="L109" s="1" t="s">
        <v>133</v>
      </c>
      <c r="P109" s="23"/>
      <c r="S109" s="175" t="str">
        <f ca="1">U38</f>
        <v/>
      </c>
    </row>
    <row r="110" spans="1:24" ht="12.75" customHeight="1" x14ac:dyDescent="0.25">
      <c r="A110"/>
      <c r="F110"/>
      <c r="G110" s="23"/>
      <c r="H110" s="23"/>
      <c r="L110" s="1" t="s">
        <v>134</v>
      </c>
      <c r="P110" s="23"/>
      <c r="S110" s="175" t="str">
        <f ca="1">V38</f>
        <v/>
      </c>
    </row>
    <row r="111" spans="1:24" x14ac:dyDescent="0.25">
      <c r="A111"/>
      <c r="F111"/>
      <c r="G111" s="23"/>
      <c r="H111" s="23"/>
      <c r="L111" s="1" t="s">
        <v>135</v>
      </c>
      <c r="P111" s="23"/>
      <c r="S111" s="175" t="str">
        <f ca="1">W38</f>
        <v/>
      </c>
    </row>
    <row r="112" spans="1:24" ht="12.75" customHeight="1" x14ac:dyDescent="0.25">
      <c r="A112"/>
      <c r="F112"/>
      <c r="G112" s="23"/>
      <c r="H112" s="23"/>
      <c r="L112" s="1" t="s">
        <v>136</v>
      </c>
      <c r="P112" s="23"/>
      <c r="S112" s="175" t="str">
        <f ca="1">X38</f>
        <v/>
      </c>
    </row>
    <row r="113" spans="1:16" x14ac:dyDescent="0.25">
      <c r="A113"/>
      <c r="H113" s="10"/>
      <c r="L113" s="1" t="s">
        <v>66</v>
      </c>
    </row>
    <row r="114" spans="1:16" ht="12.75" customHeight="1" x14ac:dyDescent="0.25">
      <c r="A114"/>
      <c r="H114" s="10"/>
      <c r="L114" s="1" t="s">
        <v>67</v>
      </c>
    </row>
    <row r="115" spans="1:16" x14ac:dyDescent="0.25">
      <c r="A115"/>
      <c r="H115" s="10"/>
      <c r="L115" s="1" t="s">
        <v>68</v>
      </c>
      <c r="P115" t="s">
        <v>112</v>
      </c>
    </row>
    <row r="116" spans="1:16" x14ac:dyDescent="0.25">
      <c r="A116"/>
      <c r="H116" s="10"/>
      <c r="L116" s="1" t="s">
        <v>69</v>
      </c>
      <c r="P116" t="s">
        <v>113</v>
      </c>
    </row>
    <row r="117" spans="1:16" x14ac:dyDescent="0.25">
      <c r="A117"/>
      <c r="L117" s="1" t="s">
        <v>70</v>
      </c>
      <c r="P117" t="s">
        <v>114</v>
      </c>
    </row>
    <row r="118" spans="1:16" x14ac:dyDescent="0.25">
      <c r="A118"/>
      <c r="L118" s="1" t="s">
        <v>71</v>
      </c>
      <c r="P118" t="s">
        <v>94</v>
      </c>
    </row>
    <row r="119" spans="1:16" x14ac:dyDescent="0.25">
      <c r="A119"/>
      <c r="L119" s="1" t="s">
        <v>72</v>
      </c>
      <c r="P119" t="s">
        <v>95</v>
      </c>
    </row>
    <row r="120" spans="1:16" x14ac:dyDescent="0.25">
      <c r="A120"/>
      <c r="L120" s="1" t="s">
        <v>73</v>
      </c>
      <c r="P120" t="s">
        <v>96</v>
      </c>
    </row>
    <row r="121" spans="1:16" x14ac:dyDescent="0.25">
      <c r="A121"/>
      <c r="L121" s="1" t="s">
        <v>74</v>
      </c>
    </row>
    <row r="122" spans="1:16" x14ac:dyDescent="0.25">
      <c r="A122"/>
      <c r="L122" s="1" t="s">
        <v>75</v>
      </c>
      <c r="P122" t="s">
        <v>97</v>
      </c>
    </row>
    <row r="123" spans="1:16" x14ac:dyDescent="0.25">
      <c r="A123"/>
      <c r="L123" s="1" t="s">
        <v>76</v>
      </c>
      <c r="P123" t="s">
        <v>98</v>
      </c>
    </row>
    <row r="124" spans="1:16" x14ac:dyDescent="0.25">
      <c r="A124"/>
      <c r="L124" s="1" t="s">
        <v>77</v>
      </c>
    </row>
    <row r="125" spans="1:16" x14ac:dyDescent="0.25">
      <c r="A125"/>
      <c r="L125" s="1" t="s">
        <v>78</v>
      </c>
    </row>
    <row r="126" spans="1:16" x14ac:dyDescent="0.25">
      <c r="A126"/>
      <c r="L126" s="1" t="s">
        <v>79</v>
      </c>
    </row>
    <row r="127" spans="1:16" x14ac:dyDescent="0.25">
      <c r="A127"/>
      <c r="L127" s="1" t="s">
        <v>80</v>
      </c>
    </row>
    <row r="128" spans="1:16" x14ac:dyDescent="0.25">
      <c r="A128"/>
      <c r="L128" s="1" t="s">
        <v>81</v>
      </c>
    </row>
    <row r="129" spans="1:12" x14ac:dyDescent="0.25">
      <c r="A129"/>
      <c r="L129" s="1" t="s">
        <v>82</v>
      </c>
    </row>
    <row r="130" spans="1:12" x14ac:dyDescent="0.25">
      <c r="A130"/>
      <c r="L130" s="1" t="s">
        <v>83</v>
      </c>
    </row>
    <row r="131" spans="1:12" x14ac:dyDescent="0.25">
      <c r="A131"/>
      <c r="L131" s="1" t="s">
        <v>84</v>
      </c>
    </row>
    <row r="132" spans="1:12" x14ac:dyDescent="0.25">
      <c r="A132"/>
      <c r="L132" s="1" t="s">
        <v>65</v>
      </c>
    </row>
    <row r="133" spans="1:12" x14ac:dyDescent="0.25">
      <c r="A133"/>
      <c r="L133" s="1" t="s">
        <v>85</v>
      </c>
    </row>
    <row r="134" spans="1:12" x14ac:dyDescent="0.25">
      <c r="A134"/>
      <c r="L134" s="1" t="s">
        <v>86</v>
      </c>
    </row>
    <row r="135" spans="1:12" x14ac:dyDescent="0.25">
      <c r="A135"/>
    </row>
    <row r="136" spans="1:12" x14ac:dyDescent="0.25">
      <c r="A136"/>
    </row>
    <row r="137" spans="1:12" x14ac:dyDescent="0.25">
      <c r="A137"/>
    </row>
    <row r="138" spans="1:12" x14ac:dyDescent="0.25">
      <c r="A138"/>
    </row>
    <row r="139" spans="1:12" x14ac:dyDescent="0.25">
      <c r="A139"/>
    </row>
    <row r="140" spans="1:12" x14ac:dyDescent="0.25">
      <c r="A140"/>
    </row>
    <row r="141" spans="1:12" x14ac:dyDescent="0.25">
      <c r="A141"/>
    </row>
    <row r="142" spans="1:12" x14ac:dyDescent="0.25">
      <c r="A142"/>
    </row>
    <row r="143" spans="1:12" x14ac:dyDescent="0.25">
      <c r="A143"/>
    </row>
    <row r="144" spans="1:12" x14ac:dyDescent="0.25">
      <c r="A144"/>
    </row>
    <row r="145" spans="1:1" x14ac:dyDescent="0.25">
      <c r="A145"/>
    </row>
    <row r="146" spans="1:1" x14ac:dyDescent="0.25">
      <c r="A146"/>
    </row>
    <row r="147" spans="1:1" x14ac:dyDescent="0.25">
      <c r="A147"/>
    </row>
    <row r="148" spans="1:1" x14ac:dyDescent="0.25">
      <c r="A148"/>
    </row>
    <row r="149" spans="1:1" x14ac:dyDescent="0.25">
      <c r="A149"/>
    </row>
    <row r="150" spans="1:1" x14ac:dyDescent="0.25">
      <c r="A150"/>
    </row>
    <row r="151" spans="1:1" x14ac:dyDescent="0.25">
      <c r="A151"/>
    </row>
    <row r="152" spans="1:1" x14ac:dyDescent="0.25">
      <c r="A152"/>
    </row>
    <row r="153" spans="1:1" x14ac:dyDescent="0.25">
      <c r="A153"/>
    </row>
    <row r="154" spans="1:1" x14ac:dyDescent="0.25">
      <c r="A154"/>
    </row>
    <row r="155" spans="1:1" x14ac:dyDescent="0.25">
      <c r="A155"/>
    </row>
    <row r="156" spans="1:1" x14ac:dyDescent="0.25">
      <c r="A156"/>
    </row>
    <row r="157" spans="1:1" x14ac:dyDescent="0.25">
      <c r="A157"/>
    </row>
    <row r="158" spans="1:1" x14ac:dyDescent="0.25">
      <c r="A158"/>
    </row>
    <row r="159" spans="1:1" x14ac:dyDescent="0.25">
      <c r="A159"/>
    </row>
    <row r="160" spans="1:1" x14ac:dyDescent="0.25">
      <c r="A160"/>
    </row>
    <row r="161" spans="1:1" x14ac:dyDescent="0.25">
      <c r="A161"/>
    </row>
    <row r="162" spans="1:1" x14ac:dyDescent="0.25">
      <c r="A162"/>
    </row>
    <row r="163" spans="1:1" x14ac:dyDescent="0.25">
      <c r="A163"/>
    </row>
    <row r="164" spans="1:1" x14ac:dyDescent="0.25">
      <c r="A164"/>
    </row>
    <row r="165" spans="1:1" x14ac:dyDescent="0.25">
      <c r="A165"/>
    </row>
    <row r="166" spans="1:1" x14ac:dyDescent="0.25">
      <c r="A166"/>
    </row>
    <row r="167" spans="1:1" x14ac:dyDescent="0.25">
      <c r="A167"/>
    </row>
    <row r="168" spans="1:1" x14ac:dyDescent="0.25">
      <c r="A168"/>
    </row>
    <row r="169" spans="1:1" x14ac:dyDescent="0.25">
      <c r="A169"/>
    </row>
    <row r="170" spans="1:1" x14ac:dyDescent="0.25">
      <c r="A170"/>
    </row>
    <row r="171" spans="1:1" x14ac:dyDescent="0.25">
      <c r="A171"/>
    </row>
    <row r="172" spans="1:1" x14ac:dyDescent="0.25">
      <c r="A172"/>
    </row>
    <row r="173" spans="1:1" x14ac:dyDescent="0.25">
      <c r="A173"/>
    </row>
    <row r="174" spans="1:1" x14ac:dyDescent="0.25">
      <c r="A174"/>
    </row>
    <row r="175" spans="1:1" x14ac:dyDescent="0.25">
      <c r="A175"/>
    </row>
    <row r="176" spans="1:1" x14ac:dyDescent="0.25">
      <c r="A176"/>
    </row>
    <row r="177" spans="1:1" x14ac:dyDescent="0.25">
      <c r="A177"/>
    </row>
    <row r="178" spans="1:1" x14ac:dyDescent="0.25">
      <c r="A178"/>
    </row>
    <row r="179" spans="1:1" x14ac:dyDescent="0.25">
      <c r="A179"/>
    </row>
    <row r="180" spans="1:1" x14ac:dyDescent="0.25">
      <c r="A180"/>
    </row>
    <row r="219" spans="1:24" ht="12.75" customHeight="1" x14ac:dyDescent="0.25"/>
    <row r="220" spans="1:24" ht="12.75" customHeight="1" x14ac:dyDescent="0.25">
      <c r="A220" s="205" t="str">
        <f>A28</f>
        <v>Nº OPERAÇÃO</v>
      </c>
      <c r="B220" s="213"/>
      <c r="C220" s="205" t="str">
        <f>C28</f>
        <v>GESTOR</v>
      </c>
      <c r="D220" s="206"/>
      <c r="E220" s="213"/>
      <c r="F220" s="205" t="str">
        <f>F28</f>
        <v>PROGRAMA</v>
      </c>
      <c r="G220" s="206"/>
      <c r="H220" s="206"/>
      <c r="I220" s="213"/>
      <c r="J220" s="205" t="str">
        <f>J28</f>
        <v>AÇÃO / MODALIDADE</v>
      </c>
      <c r="K220" s="206"/>
      <c r="L220" s="206"/>
      <c r="M220" s="206"/>
      <c r="N220" s="206"/>
      <c r="O220" s="213"/>
      <c r="P220" s="205" t="str">
        <f>P28</f>
        <v>OBJETO</v>
      </c>
      <c r="Q220" s="206"/>
      <c r="R220" s="206"/>
      <c r="S220" s="206"/>
      <c r="T220" s="206"/>
      <c r="U220" s="206"/>
      <c r="V220" s="206"/>
      <c r="W220" s="206"/>
      <c r="X220" s="213"/>
    </row>
    <row r="221" spans="1:24" ht="12.75" customHeight="1" x14ac:dyDescent="0.25">
      <c r="A221" s="245" t="str">
        <f>IF(A29="","",A29)</f>
        <v/>
      </c>
      <c r="B221" s="247"/>
      <c r="C221" s="245" t="str">
        <f>IF(C29="","",C29)</f>
        <v/>
      </c>
      <c r="D221" s="246"/>
      <c r="E221" s="247"/>
      <c r="F221" s="245" t="str">
        <f>IF(F29="","",F29)</f>
        <v/>
      </c>
      <c r="G221" s="246"/>
      <c r="H221" s="246"/>
      <c r="I221" s="247"/>
      <c r="J221" s="245" t="str">
        <f>IF(J29="","",J29)</f>
        <v/>
      </c>
      <c r="K221" s="246"/>
      <c r="L221" s="246" t="e">
        <f>IF(#REF!="","",#REF!)</f>
        <v>#REF!</v>
      </c>
      <c r="M221" s="246"/>
      <c r="N221" s="246" t="e">
        <f>IF(#REF!="","",#REF!)</f>
        <v>#REF!</v>
      </c>
      <c r="O221" s="247"/>
      <c r="P221" s="245" t="str">
        <f>IF(P29="","",P29)</f>
        <v>PAVIMENTAÇÃO EM CBUQ ESTRADA DA IMACULADA CONCEIÇÃO</v>
      </c>
      <c r="Q221" s="246"/>
      <c r="R221" s="246"/>
      <c r="S221" s="246"/>
      <c r="T221" s="246"/>
      <c r="U221" s="246"/>
      <c r="V221" s="246"/>
      <c r="W221" s="246"/>
      <c r="X221" s="247"/>
    </row>
    <row r="222" spans="1:24" ht="6" customHeight="1" x14ac:dyDescent="0.25">
      <c r="A222"/>
      <c r="B222"/>
      <c r="F222"/>
      <c r="G222"/>
      <c r="H222"/>
    </row>
    <row r="223" spans="1:24" x14ac:dyDescent="0.25">
      <c r="A223" s="205" t="str">
        <f>A31</f>
        <v>PROPONENTE / TOMADOR</v>
      </c>
      <c r="B223" s="206"/>
      <c r="C223" s="206"/>
      <c r="D223" s="206"/>
      <c r="E223" s="206"/>
      <c r="F223" s="206"/>
      <c r="G223" s="205" t="str">
        <f>G31</f>
        <v>MUNICÍPIO / UF</v>
      </c>
      <c r="H223" s="206"/>
      <c r="I223" s="206"/>
      <c r="J223" s="213"/>
      <c r="K223" s="205" t="str">
        <f>K31</f>
        <v>LOCALIDADE / ENDEREÇO</v>
      </c>
      <c r="L223" s="206"/>
      <c r="M223" s="206"/>
      <c r="N223" s="206"/>
      <c r="O223" s="206"/>
      <c r="P223" s="213"/>
      <c r="Q223" s="205" t="str">
        <f>Q31</f>
        <v>APELIDO DO EMPREENDIMENTO</v>
      </c>
      <c r="R223" s="206"/>
      <c r="S223" s="206"/>
      <c r="T223" s="206"/>
      <c r="U223" s="206"/>
      <c r="V223" s="206"/>
      <c r="W223" s="206"/>
      <c r="X223" s="213"/>
    </row>
    <row r="224" spans="1:24" ht="12.75" customHeight="1" x14ac:dyDescent="0.25">
      <c r="A224" s="243" t="str">
        <f>IF(A32="","",A32)</f>
        <v>MUNICIPIO DE BENTO GONÇALVES</v>
      </c>
      <c r="B224" s="244"/>
      <c r="C224" s="244"/>
      <c r="D224" s="244"/>
      <c r="E224" s="244"/>
      <c r="F224" s="244"/>
      <c r="G224" s="245" t="str">
        <f>IF(G32="","",G32)</f>
        <v>BENTO GONÇALVES/RS</v>
      </c>
      <c r="H224" s="246" t="str">
        <f>IF(I32="","",I32)</f>
        <v/>
      </c>
      <c r="I224" s="246"/>
      <c r="J224" s="247" t="e">
        <f>IF(#REF!="","",#REF!)</f>
        <v>#REF!</v>
      </c>
      <c r="K224" s="245" t="str">
        <f>IF(K32="","",K32)</f>
        <v>ESTRADA DA IMACULADA CONCEIÇÃO</v>
      </c>
      <c r="L224" s="246"/>
      <c r="M224" s="246"/>
      <c r="N224" s="246"/>
      <c r="O224" s="246"/>
      <c r="P224" s="247"/>
      <c r="Q224" s="245" t="str">
        <f>IF(Q32="","",Q32)</f>
        <v>PAVIMENTAÇÃO EM CBUQ ESTRADA DA IMACULADA CONCEIÇÃO</v>
      </c>
      <c r="R224" s="246"/>
      <c r="S224" s="246"/>
      <c r="T224" s="246"/>
      <c r="U224" s="246"/>
      <c r="V224" s="246"/>
      <c r="W224" s="246"/>
      <c r="X224" s="247"/>
    </row>
    <row r="225" spans="1:24" ht="6" hidden="1" customHeight="1" x14ac:dyDescent="0.25">
      <c r="A225"/>
      <c r="B225"/>
      <c r="F225"/>
      <c r="G225"/>
      <c r="H225"/>
    </row>
    <row r="226" spans="1:24" hidden="1" x14ac:dyDescent="0.25">
      <c r="A226" s="205" t="str">
        <f>A37</f>
        <v>DATA BASE</v>
      </c>
      <c r="B226" s="213"/>
      <c r="C226" s="78" t="str">
        <f>C37</f>
        <v>DESON.</v>
      </c>
      <c r="D226" s="205" t="str">
        <f>D37</f>
        <v>LOCALIDADE DO SINAPI</v>
      </c>
      <c r="E226" s="206"/>
      <c r="F226" s="213"/>
      <c r="G226" s="205" t="str">
        <f>G37</f>
        <v>DESCRIÇÃO DO LOTE</v>
      </c>
      <c r="H226" s="206"/>
      <c r="I226" s="206"/>
      <c r="J226" s="206"/>
      <c r="K226" s="206"/>
      <c r="L226" s="206"/>
      <c r="M226" s="206"/>
      <c r="N226" s="206"/>
      <c r="O226" s="206"/>
      <c r="P226" s="206"/>
      <c r="Q226" s="206"/>
      <c r="R226" s="206"/>
      <c r="S226" s="213"/>
      <c r="T226" s="79" t="str">
        <f>T37</f>
        <v>BDI 1</v>
      </c>
      <c r="U226" s="79" t="str">
        <f>U37</f>
        <v>BDI 2</v>
      </c>
      <c r="V226" s="79" t="str">
        <f>V37</f>
        <v>BDI 3</v>
      </c>
      <c r="W226" s="79" t="str">
        <f>W37</f>
        <v>BDI 4</v>
      </c>
      <c r="X226" s="79" t="str">
        <f>X37</f>
        <v>BDI 5</v>
      </c>
    </row>
    <row r="227" spans="1:24" ht="12.75" hidden="1" customHeight="1" x14ac:dyDescent="0.25">
      <c r="A227" s="248">
        <f>IF(A38="","",A38)</f>
        <v>45575</v>
      </c>
      <c r="B227" s="249"/>
      <c r="C227" s="115" t="str">
        <f t="shared" ref="C227:X227" si="0">IF(C38="","",C38)</f>
        <v>Não</v>
      </c>
      <c r="D227" s="250" t="str">
        <f t="shared" si="0"/>
        <v>Porto Alegre / RS</v>
      </c>
      <c r="E227" s="251" t="str">
        <f t="shared" si="0"/>
        <v/>
      </c>
      <c r="F227" s="252" t="str">
        <f t="shared" si="0"/>
        <v/>
      </c>
      <c r="G227" s="250" t="str">
        <f t="shared" si="0"/>
        <v>PAVIMENTAÇÃO EM CBUQ ESTRADA DA IMACULADA CONCEIÇÃO</v>
      </c>
      <c r="H227" s="251" t="str">
        <f t="shared" si="0"/>
        <v/>
      </c>
      <c r="I227" s="251" t="str">
        <f t="shared" si="0"/>
        <v/>
      </c>
      <c r="J227" s="251" t="str">
        <f t="shared" si="0"/>
        <v/>
      </c>
      <c r="K227" s="251" t="str">
        <f t="shared" si="0"/>
        <v/>
      </c>
      <c r="L227" s="251" t="str">
        <f t="shared" si="0"/>
        <v/>
      </c>
      <c r="M227" s="251" t="str">
        <f t="shared" si="0"/>
        <v/>
      </c>
      <c r="N227" s="251" t="str">
        <f t="shared" si="0"/>
        <v/>
      </c>
      <c r="O227" s="251" t="str">
        <f t="shared" si="0"/>
        <v/>
      </c>
      <c r="P227" s="251" t="str">
        <f t="shared" si="0"/>
        <v/>
      </c>
      <c r="Q227" s="251" t="str">
        <f t="shared" si="0"/>
        <v/>
      </c>
      <c r="R227" s="251" t="str">
        <f t="shared" si="0"/>
        <v/>
      </c>
      <c r="S227" s="252" t="str">
        <f t="shared" si="0"/>
        <v/>
      </c>
      <c r="T227" s="117">
        <f t="shared" ca="1" si="0"/>
        <v>0.24</v>
      </c>
      <c r="U227" s="81" t="str">
        <f t="shared" ca="1" si="0"/>
        <v/>
      </c>
      <c r="V227" s="81" t="str">
        <f t="shared" ca="1" si="0"/>
        <v/>
      </c>
      <c r="W227" s="81" t="str">
        <f t="shared" ca="1" si="0"/>
        <v/>
      </c>
      <c r="X227" s="81" t="str">
        <f t="shared" ca="1" si="0"/>
        <v/>
      </c>
    </row>
    <row r="228" spans="1:24" ht="6" customHeight="1" x14ac:dyDescent="0.25">
      <c r="A228"/>
      <c r="B228"/>
      <c r="F228"/>
      <c r="G228"/>
      <c r="H228"/>
    </row>
    <row r="229" spans="1:24" ht="12.75" customHeight="1" x14ac:dyDescent="0.25">
      <c r="A229" s="205" t="s">
        <v>87</v>
      </c>
      <c r="B229" s="213"/>
      <c r="C229" s="205" t="s">
        <v>163</v>
      </c>
      <c r="D229" s="206"/>
      <c r="E229" s="206"/>
      <c r="F229" s="206"/>
      <c r="G229" s="206"/>
      <c r="H229" s="205" t="s">
        <v>16</v>
      </c>
      <c r="I229" s="206"/>
      <c r="J229" s="20" t="s">
        <v>91</v>
      </c>
      <c r="K229" s="205" t="s">
        <v>88</v>
      </c>
      <c r="L229" s="206"/>
      <c r="M229" s="213"/>
      <c r="N229" s="20" t="s">
        <v>92</v>
      </c>
      <c r="O229" s="205" t="s">
        <v>93</v>
      </c>
      <c r="P229" s="206"/>
      <c r="Q229" s="206"/>
      <c r="R229" s="206"/>
      <c r="S229" s="206"/>
      <c r="T229" s="213"/>
      <c r="U229" s="220" t="s">
        <v>89</v>
      </c>
      <c r="V229" s="221"/>
      <c r="W229" s="220" t="s">
        <v>90</v>
      </c>
      <c r="X229" s="221"/>
    </row>
    <row r="230" spans="1:24" ht="12.75" customHeight="1" x14ac:dyDescent="0.25">
      <c r="A230" s="250" t="str">
        <f>IF(A43="","",A43)</f>
        <v/>
      </c>
      <c r="B230" s="252"/>
      <c r="C230" s="250" t="str">
        <f>IF(C43="","",C43)</f>
        <v/>
      </c>
      <c r="D230" s="251"/>
      <c r="E230" s="251" t="str">
        <f>IF(E43="","",E43)</f>
        <v/>
      </c>
      <c r="F230" s="251"/>
      <c r="G230" s="251" t="str">
        <f>IF(G43="","",G43)</f>
        <v/>
      </c>
      <c r="H230" s="267" t="str">
        <f>IF(H43="","",H43)</f>
        <v/>
      </c>
      <c r="I230" s="268" t="str">
        <f>IF(I43="","",I43)</f>
        <v/>
      </c>
      <c r="J230" s="116" t="str">
        <f>IF(J43="","",J43)</f>
        <v/>
      </c>
      <c r="K230" s="259" t="str">
        <f>IF(K43="","",K43)</f>
        <v/>
      </c>
      <c r="L230" s="261"/>
      <c r="M230" s="262" t="str">
        <f>IF(M43="","",M43)</f>
        <v/>
      </c>
      <c r="N230" s="118" t="str">
        <f>IF(N43="","",N43)</f>
        <v/>
      </c>
      <c r="O230" s="259" t="str">
        <f>IF(O43="","",O43)</f>
        <v/>
      </c>
      <c r="P230" s="260"/>
      <c r="Q230" s="260" t="str">
        <f>IF(Q43="","",Q43)</f>
        <v/>
      </c>
      <c r="R230" s="261"/>
      <c r="S230" s="261" t="str">
        <f>IF(S43="","",S43)</f>
        <v/>
      </c>
      <c r="T230" s="262"/>
      <c r="U230" s="265" t="str">
        <f>IF(U43="","",U43)</f>
        <v/>
      </c>
      <c r="V230" s="266"/>
      <c r="W230" s="263" t="str">
        <f>IF(W43="","",W43)</f>
        <v/>
      </c>
      <c r="X230" s="264"/>
    </row>
    <row r="232" spans="1:24" ht="6" customHeight="1" x14ac:dyDescent="0.25">
      <c r="A232"/>
      <c r="B232"/>
      <c r="F232"/>
      <c r="G232"/>
      <c r="H232"/>
    </row>
    <row r="233" spans="1:24" x14ac:dyDescent="0.25">
      <c r="A233"/>
      <c r="B233"/>
      <c r="F233"/>
      <c r="G233"/>
      <c r="H233"/>
    </row>
    <row r="234" spans="1:24" x14ac:dyDescent="0.25">
      <c r="A234"/>
      <c r="B234"/>
      <c r="F234"/>
      <c r="G234"/>
      <c r="H234"/>
    </row>
    <row r="235" spans="1:24" x14ac:dyDescent="0.25">
      <c r="A235"/>
      <c r="B235"/>
      <c r="F235"/>
      <c r="G235"/>
      <c r="H235"/>
    </row>
    <row r="236" spans="1:24" ht="12.75" hidden="1" customHeight="1" x14ac:dyDescent="0.25">
      <c r="A236"/>
      <c r="B236"/>
      <c r="F236"/>
      <c r="G236"/>
      <c r="H236"/>
    </row>
    <row r="237" spans="1:24" ht="6" hidden="1" customHeight="1" x14ac:dyDescent="0.25">
      <c r="A237"/>
      <c r="B237"/>
      <c r="F237"/>
      <c r="G237"/>
      <c r="H237"/>
    </row>
    <row r="238" spans="1:24" ht="12.75" hidden="1" customHeight="1" x14ac:dyDescent="0.25">
      <c r="A238"/>
      <c r="B238"/>
      <c r="F238"/>
      <c r="G238"/>
      <c r="H238"/>
    </row>
    <row r="239" spans="1:24" ht="12.75" hidden="1" customHeight="1" x14ac:dyDescent="0.25">
      <c r="A239"/>
      <c r="B239"/>
      <c r="F239"/>
      <c r="G239"/>
      <c r="H239"/>
    </row>
    <row r="240" spans="1:24" ht="6" hidden="1" customHeight="1" x14ac:dyDescent="0.25">
      <c r="A240"/>
      <c r="B240"/>
      <c r="F240"/>
      <c r="G240"/>
      <c r="H240"/>
    </row>
    <row r="241" customFormat="1" ht="12.75" hidden="1" customHeight="1" x14ac:dyDescent="0.25"/>
    <row r="242" customFormat="1" ht="12.75" hidden="1" customHeight="1" x14ac:dyDescent="0.25"/>
    <row r="243" customFormat="1" ht="12.75" hidden="1" customHeight="1" x14ac:dyDescent="0.25"/>
    <row r="244" customFormat="1" ht="12.75" customHeight="1" x14ac:dyDescent="0.25"/>
    <row r="245" customFormat="1" ht="6" customHeight="1" x14ac:dyDescent="0.25"/>
    <row r="246" customFormat="1" ht="12.75" customHeight="1" x14ac:dyDescent="0.25"/>
    <row r="247" customFormat="1" ht="12.75" customHeight="1" x14ac:dyDescent="0.25"/>
    <row r="248" customFormat="1" ht="12.75" customHeight="1" x14ac:dyDescent="0.25"/>
    <row r="249" customFormat="1" ht="12.75" customHeight="1" x14ac:dyDescent="0.25"/>
    <row r="250" customFormat="1" ht="6" customHeight="1" x14ac:dyDescent="0.25"/>
    <row r="251" customFormat="1" x14ac:dyDescent="0.25"/>
    <row r="252" customFormat="1" x14ac:dyDescent="0.25"/>
    <row r="253" customFormat="1" x14ac:dyDescent="0.25"/>
    <row r="254" customFormat="1" x14ac:dyDescent="0.25"/>
    <row r="255" customFormat="1" x14ac:dyDescent="0.25"/>
    <row r="256" customFormat="1" x14ac:dyDescent="0.25"/>
    <row r="257" customFormat="1" x14ac:dyDescent="0.25"/>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788" priority="42" stopIfTrue="1">
      <formula>$B54&lt;&gt;""</formula>
    </cfRule>
  </conditionalFormatting>
  <conditionalFormatting sqref="A48 H54:K54 H55:H56 H57:K57 A29:C29 J29 F29 A32 P29 G32 K32">
    <cfRule type="expression" dxfId="787" priority="48" stopIfTrue="1">
      <formula>A29&lt;&gt;""</formula>
    </cfRule>
  </conditionalFormatting>
  <conditionalFormatting sqref="G53:K54 G55:H56 G57:K57">
    <cfRule type="expression" dxfId="786" priority="43" stopIfTrue="1">
      <formula>$K$52&lt;&gt;"SIM"</formula>
    </cfRule>
  </conditionalFormatting>
  <conditionalFormatting sqref="A40:X43">
    <cfRule type="expression" dxfId="785" priority="56" stopIfTrue="1">
      <formula>OR(TipoOrçamento="BASE",TipoOrçamento="REPROGRAMADONPL")</formula>
    </cfRule>
    <cfRule type="expression" dxfId="784" priority="57" stopIfTrue="1">
      <formula>A40&lt;&gt;""</formula>
    </cfRule>
  </conditionalFormatting>
  <conditionalFormatting sqref="A35:X38">
    <cfRule type="expression" dxfId="783" priority="58" stopIfTrue="1">
      <formula>OR(TipoOrçamento="LICITADO",TipoOrçamento="REPROGRAMADOAC")</formula>
    </cfRule>
    <cfRule type="expression" dxfId="782" priority="59" stopIfTrue="1">
      <formula>A35&lt;&gt;""</formula>
    </cfRule>
  </conditionalFormatting>
  <conditionalFormatting sqref="Q32">
    <cfRule type="expression" dxfId="781"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0" zoomScaleNormal="100" zoomScaleSheetLayoutView="100" zoomScalePageLayoutView="70" workbookViewId="0">
      <selection activeCell="N23" sqref="N23"/>
    </sheetView>
  </sheetViews>
  <sheetFormatPr defaultColWidth="0" defaultRowHeight="13.2" zeroHeight="1" x14ac:dyDescent="0.25"/>
  <cols>
    <col min="1" max="1" width="30.33203125" style="42" hidden="1" customWidth="1"/>
    <col min="2" max="3" width="9.109375" style="42" hidden="1" customWidth="1"/>
    <col min="4" max="4" width="23.5546875" style="42" hidden="1" customWidth="1"/>
    <col min="5" max="8" width="9.109375" style="42" hidden="1" customWidth="1"/>
    <col min="9" max="14" width="10.6640625" style="42" customWidth="1"/>
    <col min="15" max="15" width="12.88671875" style="42" customWidth="1"/>
    <col min="16" max="18" width="10.6640625" style="42" customWidth="1"/>
    <col min="19" max="19" width="3.6640625" style="42" customWidth="1"/>
    <col min="20" max="20" width="29.5546875" style="42" customWidth="1"/>
    <col min="21" max="21" width="13.6640625" style="42" customWidth="1"/>
    <col min="22" max="16384" width="9.109375" style="42" hidden="1"/>
  </cols>
  <sheetData>
    <row r="1" spans="1:29" ht="15" customHeight="1" x14ac:dyDescent="0.3">
      <c r="E1" s="43" t="s">
        <v>25</v>
      </c>
      <c r="F1" s="43" t="s">
        <v>26</v>
      </c>
      <c r="G1" s="43" t="s">
        <v>27</v>
      </c>
      <c r="N1" s="46" t="str">
        <f ca="1">"Quadro de Composição do BDI "&amp;MID(CELL("nome.arquivo",N1),5+FIND("BDI (",CELL("nome.arquivo",N1)),1)</f>
        <v>Quadro de Composição do BDI 1</v>
      </c>
      <c r="Q1"/>
      <c r="R1"/>
    </row>
    <row r="2" spans="1:29" x14ac:dyDescent="0.25">
      <c r="A2" s="42" t="s">
        <v>28</v>
      </c>
      <c r="B2" s="44" t="s">
        <v>29</v>
      </c>
      <c r="C2" s="42" t="str">
        <f t="shared" ref="C2:C49" si="0">CONCATENATE(A2,"-",B2)</f>
        <v>Construção e Reforma de Edifícios-AC</v>
      </c>
      <c r="E2" s="45">
        <v>0.03</v>
      </c>
      <c r="F2" s="45">
        <v>0.04</v>
      </c>
      <c r="G2" s="45">
        <v>5.5E-2</v>
      </c>
      <c r="Q2"/>
      <c r="R2"/>
    </row>
    <row r="3" spans="1:29" x14ac:dyDescent="0.25">
      <c r="A3" s="42" t="str">
        <f>A2</f>
        <v>Construção e Reforma de Edifícios</v>
      </c>
      <c r="B3" s="44" t="s">
        <v>30</v>
      </c>
      <c r="C3" s="42" t="str">
        <f t="shared" si="0"/>
        <v>Construção e Reforma de Edifícios-SG</v>
      </c>
      <c r="E3" s="45">
        <v>8.0000000000000002E-3</v>
      </c>
      <c r="F3" s="45">
        <v>8.0000000000000002E-3</v>
      </c>
      <c r="G3" s="45">
        <v>0.01</v>
      </c>
    </row>
    <row r="4" spans="1:29" x14ac:dyDescent="0.25">
      <c r="A4" s="42" t="str">
        <f>A3</f>
        <v>Construção e Reforma de Edifícios</v>
      </c>
      <c r="B4" s="44" t="s">
        <v>31</v>
      </c>
      <c r="C4" s="42" t="str">
        <f t="shared" si="0"/>
        <v>Construção e Reforma de Edifícios-R</v>
      </c>
      <c r="E4" s="45">
        <v>9.7000000000000003E-3</v>
      </c>
      <c r="F4" s="45">
        <v>1.2699999999999999E-2</v>
      </c>
      <c r="G4" s="45">
        <v>1.2699999999999999E-2</v>
      </c>
      <c r="I4" s="205" t="s">
        <v>150</v>
      </c>
      <c r="J4" s="213"/>
      <c r="K4" s="205" t="s">
        <v>173</v>
      </c>
      <c r="L4" s="206"/>
      <c r="M4" s="206"/>
      <c r="N4" s="206"/>
      <c r="O4" s="206"/>
      <c r="P4" s="206"/>
      <c r="Q4" s="206"/>
      <c r="R4" s="213"/>
    </row>
    <row r="5" spans="1:29" ht="12.75" customHeight="1" x14ac:dyDescent="0.35">
      <c r="A5" s="42" t="str">
        <f>A4</f>
        <v>Construção e Reforma de Edifícios</v>
      </c>
      <c r="B5" s="44" t="s">
        <v>32</v>
      </c>
      <c r="C5" s="42" t="str">
        <f t="shared" si="0"/>
        <v>Construção e Reforma de Edifícios-DF</v>
      </c>
      <c r="E5" s="45">
        <v>5.8999999999999999E-3</v>
      </c>
      <c r="F5" s="45">
        <v>1.23E-2</v>
      </c>
      <c r="G5" s="45">
        <v>1.3899999999999999E-2</v>
      </c>
      <c r="I5" s="304">
        <f>DADOS!A29</f>
        <v>0</v>
      </c>
      <c r="J5" s="305"/>
      <c r="K5" s="306" t="str">
        <f>DADOS!A32</f>
        <v>MUNICIPIO DE BENTO GONÇALVES</v>
      </c>
      <c r="L5" s="307"/>
      <c r="M5" s="307"/>
      <c r="N5" s="307"/>
      <c r="O5" s="307"/>
      <c r="P5" s="307"/>
      <c r="Q5" s="307"/>
      <c r="R5" s="305"/>
      <c r="S5" s="47"/>
    </row>
    <row r="6" spans="1:29" ht="6" customHeight="1" x14ac:dyDescent="0.25">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5">
      <c r="A7" s="42" t="str">
        <f>A6</f>
        <v>Construção e Reforma de Edifícios</v>
      </c>
      <c r="B7" s="49" t="s">
        <v>33</v>
      </c>
      <c r="C7" s="42" t="str">
        <f t="shared" si="0"/>
        <v>Construção e Reforma de Edifícios-BDI PAD</v>
      </c>
      <c r="E7" s="45">
        <v>0.2034</v>
      </c>
      <c r="F7" s="45">
        <v>0.22120000000000001</v>
      </c>
      <c r="G7" s="45">
        <v>0.25</v>
      </c>
      <c r="I7" s="205" t="s">
        <v>0</v>
      </c>
      <c r="J7" s="206"/>
      <c r="K7" s="206"/>
      <c r="L7" s="206"/>
      <c r="M7" s="206"/>
      <c r="N7" s="206"/>
      <c r="O7" s="206"/>
      <c r="P7" s="206"/>
      <c r="Q7" s="206"/>
      <c r="R7" s="213"/>
    </row>
    <row r="8" spans="1:29" ht="24.75" customHeight="1" x14ac:dyDescent="0.25">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8" t="str">
        <f>DADOS!P29</f>
        <v>PAVIMENTAÇÃO EM CBUQ ESTRADA DA IMACULADA CONCEIÇÃO</v>
      </c>
      <c r="J8" s="308"/>
      <c r="K8" s="308"/>
      <c r="L8" s="308"/>
      <c r="M8" s="308"/>
      <c r="N8" s="308"/>
      <c r="O8" s="308"/>
      <c r="P8" s="308"/>
      <c r="Q8" s="308"/>
      <c r="R8" s="308"/>
    </row>
    <row r="9" spans="1:29" ht="6" customHeight="1" x14ac:dyDescent="0.25">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5">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5" t="s">
        <v>35</v>
      </c>
      <c r="J10" s="206"/>
      <c r="K10" s="206"/>
      <c r="L10" s="206"/>
      <c r="M10" s="206"/>
      <c r="N10" s="206"/>
      <c r="O10" s="206"/>
      <c r="P10" s="206"/>
      <c r="Q10" s="205" t="s">
        <v>13</v>
      </c>
      <c r="R10" s="213"/>
    </row>
    <row r="11" spans="1:29" x14ac:dyDescent="0.25">
      <c r="A11" s="42" t="s">
        <v>34</v>
      </c>
      <c r="B11" s="44" t="s">
        <v>32</v>
      </c>
      <c r="C11" s="42" t="str">
        <f t="shared" si="0"/>
        <v>Construção de Praças Urbanas, Rodovias, Ferrovias e recapeamento e pavimentação de vias urbanas-DF</v>
      </c>
      <c r="E11" s="45">
        <v>1.0200000000000001E-2</v>
      </c>
      <c r="F11" s="45">
        <v>1.11E-2</v>
      </c>
      <c r="G11" s="45">
        <v>1.21E-2</v>
      </c>
      <c r="I11" s="299" t="s">
        <v>34</v>
      </c>
      <c r="J11" s="300"/>
      <c r="K11" s="300"/>
      <c r="L11" s="300"/>
      <c r="M11" s="300"/>
      <c r="N11" s="300"/>
      <c r="O11" s="300"/>
      <c r="P11" s="301"/>
      <c r="Q11" s="302" t="str">
        <f>DADOS!$C$38</f>
        <v>Não</v>
      </c>
      <c r="R11" s="303"/>
    </row>
    <row r="12" spans="1:29" x14ac:dyDescent="0.25">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5">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3" t="s">
        <v>36</v>
      </c>
      <c r="J13" s="313"/>
      <c r="K13" s="313"/>
      <c r="L13" s="313"/>
      <c r="M13" s="313"/>
      <c r="N13" s="313"/>
      <c r="O13" s="313"/>
      <c r="P13" s="313"/>
      <c r="Q13" s="310">
        <v>0.45</v>
      </c>
      <c r="R13" s="310"/>
    </row>
    <row r="14" spans="1:29" ht="15" customHeight="1" x14ac:dyDescent="0.25">
      <c r="A14" s="42" t="s">
        <v>37</v>
      </c>
      <c r="B14" s="44" t="s">
        <v>29</v>
      </c>
      <c r="C14" s="42" t="str">
        <f t="shared" si="0"/>
        <v>Construção de Redes de Abastecimento de Água, Coleta de Esgoto-AC</v>
      </c>
      <c r="E14" s="45">
        <v>3.4300000000000004E-2</v>
      </c>
      <c r="F14" s="45">
        <v>4.9299999999999997E-2</v>
      </c>
      <c r="G14" s="45">
        <v>6.7099999999999993E-2</v>
      </c>
      <c r="I14" s="311" t="s">
        <v>38</v>
      </c>
      <c r="J14" s="311"/>
      <c r="K14" s="311"/>
      <c r="L14" s="311"/>
      <c r="M14" s="311"/>
      <c r="N14" s="311"/>
      <c r="O14" s="311"/>
      <c r="P14" s="311"/>
      <c r="Q14" s="310">
        <v>0.03</v>
      </c>
      <c r="R14" s="310"/>
    </row>
    <row r="15" spans="1:29" x14ac:dyDescent="0.25">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5">
      <c r="B16" s="44"/>
      <c r="E16" s="45"/>
      <c r="F16" s="45"/>
      <c r="G16" s="45"/>
      <c r="I16" s="312" t="s">
        <v>39</v>
      </c>
      <c r="J16" s="312"/>
      <c r="K16" s="312"/>
      <c r="L16" s="312"/>
      <c r="M16" s="312" t="s">
        <v>40</v>
      </c>
      <c r="N16" s="314" t="s">
        <v>41</v>
      </c>
      <c r="O16" s="314" t="s">
        <v>42</v>
      </c>
      <c r="P16" s="312" t="s">
        <v>43</v>
      </c>
      <c r="Q16" s="312" t="s">
        <v>44</v>
      </c>
      <c r="R16" s="293" t="s">
        <v>45</v>
      </c>
      <c r="T16" s="290" t="str">
        <f>IF(V27,"Para BDI fora do intervalo estatístico, deve ser apresentado Relatório Técnico Circunstanciado justificando a adoção do percentual de cada parcela do BDI.","")</f>
        <v/>
      </c>
      <c r="U16" s="290"/>
      <c r="V16" s="93"/>
      <c r="W16" s="93"/>
      <c r="X16" s="93"/>
      <c r="Y16" s="93"/>
      <c r="Z16" s="93"/>
      <c r="AA16" s="93"/>
      <c r="AB16" s="93"/>
      <c r="AC16" s="93"/>
    </row>
    <row r="17" spans="1:31" ht="15.75" customHeight="1" x14ac:dyDescent="0.25">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2"/>
      <c r="J17" s="312"/>
      <c r="K17" s="312"/>
      <c r="L17" s="312"/>
      <c r="M17" s="312"/>
      <c r="N17" s="314"/>
      <c r="O17" s="314"/>
      <c r="P17" s="312"/>
      <c r="Q17" s="312"/>
      <c r="R17" s="293"/>
      <c r="T17" s="290"/>
      <c r="U17" s="290"/>
      <c r="V17" s="93"/>
      <c r="W17" s="93"/>
      <c r="X17" s="93"/>
      <c r="Y17" s="93"/>
      <c r="Z17" s="93"/>
      <c r="AA17" s="93"/>
      <c r="AB17" s="93"/>
      <c r="AC17" s="93"/>
    </row>
    <row r="18" spans="1:31" ht="26.25" customHeight="1" x14ac:dyDescent="0.25">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8" t="str">
        <f>IF($I$11=$A$59,"Encargos Sociais incidentes sobre a mão de obra","Administração Central")</f>
        <v>Administração Central</v>
      </c>
      <c r="J18" s="278"/>
      <c r="K18" s="278"/>
      <c r="L18" s="278"/>
      <c r="M18" s="50" t="str">
        <f>IF($I$11=$A$59,"K1","AC")</f>
        <v>AC</v>
      </c>
      <c r="N18" s="51">
        <v>4.6699999999999998E-2</v>
      </c>
      <c r="O18" s="52" t="s">
        <v>46</v>
      </c>
      <c r="P18" s="53">
        <f>VLOOKUP(CONCATENATE(I$11,"-",M18),$C$2:$G$49,3,FALSE)</f>
        <v>3.7999999999999999E-2</v>
      </c>
      <c r="Q18" s="53">
        <f>VLOOKUP(CONCATENATE(I$11,"-",M18),$C$2:$G$49,4,FALSE)</f>
        <v>4.0099999999999997E-2</v>
      </c>
      <c r="R18" s="53">
        <f>VLOOKUP(CONCATENATE(I$11,"-",M18),$C$2:$G$49,5,FALSE)</f>
        <v>4.6699999999999998E-2</v>
      </c>
      <c r="T18" s="290"/>
      <c r="U18" s="290"/>
      <c r="V18" s="93"/>
      <c r="W18" s="93"/>
      <c r="X18" s="93"/>
      <c r="Y18" s="93"/>
      <c r="Z18" s="93"/>
      <c r="AA18" s="93"/>
      <c r="AB18" s="93"/>
      <c r="AC18" s="93"/>
    </row>
    <row r="19" spans="1:31" ht="26.25" customHeight="1" x14ac:dyDescent="0.25">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8" t="str">
        <f>IF($I$11=$A$59,"Administração Central da empresa ou consultoria - overhead","Seguro e Garantia")</f>
        <v>Seguro e Garantia</v>
      </c>
      <c r="J19" s="278"/>
      <c r="K19" s="278"/>
      <c r="L19" s="278"/>
      <c r="M19" s="50" t="str">
        <f>IF($I$11=$A$59,"K2","SG")</f>
        <v>SG</v>
      </c>
      <c r="N19" s="51">
        <v>7.4000000000000003E-3</v>
      </c>
      <c r="O19" s="52" t="s">
        <v>46</v>
      </c>
      <c r="P19" s="53">
        <f>VLOOKUP(CONCATENATE(I$11,"-",M19),$C$2:$G$49,3,FALSE)</f>
        <v>3.2000000000000002E-3</v>
      </c>
      <c r="Q19" s="53">
        <f>VLOOKUP(CONCATENATE(I$11,"-",M19),$C$2:$G$49,4,FALSE)</f>
        <v>4.0000000000000001E-3</v>
      </c>
      <c r="R19" s="53">
        <f>VLOOKUP(CONCATENATE(I$11,"-",M19),$C$2:$G$49,5,FALSE)</f>
        <v>7.4000000000000003E-3</v>
      </c>
      <c r="T19" s="290"/>
      <c r="U19" s="290"/>
      <c r="V19" s="93"/>
      <c r="W19" s="93"/>
      <c r="X19" s="93"/>
      <c r="Y19" s="93"/>
      <c r="Z19" s="93"/>
      <c r="AA19" s="93"/>
      <c r="AB19" s="93"/>
      <c r="AC19" s="93"/>
    </row>
    <row r="20" spans="1:31" ht="26.25" customHeight="1" x14ac:dyDescent="0.25">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8" t="str">
        <f>IF($I$11=$A$59,"","Risco")</f>
        <v>Risco</v>
      </c>
      <c r="J20" s="278"/>
      <c r="K20" s="278"/>
      <c r="L20" s="278"/>
      <c r="M20" s="50" t="str">
        <f>IF($I$11=$A$59,"","R")</f>
        <v>R</v>
      </c>
      <c r="N20" s="51">
        <v>9.7000000000000003E-3</v>
      </c>
      <c r="O20" s="52" t="s">
        <v>46</v>
      </c>
      <c r="P20" s="53">
        <f>VLOOKUP(CONCATENATE(I$11,"-",M20),$C$2:$G$49,3,FALSE)</f>
        <v>5.0000000000000001E-3</v>
      </c>
      <c r="Q20" s="53">
        <f>VLOOKUP(CONCATENATE(I$11,"-",M20),$C$2:$G$49,4,FALSE)</f>
        <v>5.6000000000000008E-3</v>
      </c>
      <c r="R20" s="53">
        <f>VLOOKUP(CONCATENATE(I$11,"-",M20),$C$2:$G$49,5,FALSE)</f>
        <v>9.7000000000000003E-3</v>
      </c>
      <c r="T20" s="290"/>
      <c r="U20" s="290"/>
      <c r="V20" s="93"/>
      <c r="W20" s="93"/>
      <c r="X20" s="93"/>
      <c r="Y20" s="93"/>
      <c r="Z20" s="93"/>
      <c r="AA20" s="93"/>
      <c r="AB20" s="93"/>
      <c r="AC20" s="93"/>
    </row>
    <row r="21" spans="1:31" ht="26.25" customHeight="1" x14ac:dyDescent="0.25">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8" t="str">
        <f>IF($I$11=$A$59,"","Despesas Financeiras")</f>
        <v>Despesas Financeiras</v>
      </c>
      <c r="J21" s="278"/>
      <c r="K21" s="278"/>
      <c r="L21" s="278"/>
      <c r="M21" s="50" t="str">
        <f>IF($I$11=$A$59,"","DF")</f>
        <v>DF</v>
      </c>
      <c r="N21" s="51">
        <v>1.21E-2</v>
      </c>
      <c r="O21" s="52" t="s">
        <v>46</v>
      </c>
      <c r="P21" s="53">
        <f>VLOOKUP(CONCATENATE(I$11,"-",M21),$C$2:$G$49,3,FALSE)</f>
        <v>1.0200000000000001E-2</v>
      </c>
      <c r="Q21" s="53">
        <f>VLOOKUP(CONCATENATE(I$11,"-",M21),$C$2:$G$49,4,FALSE)</f>
        <v>1.11E-2</v>
      </c>
      <c r="R21" s="53">
        <f>VLOOKUP(CONCATENATE(I$11,"-",M21),$C$2:$G$49,5,FALSE)</f>
        <v>1.21E-2</v>
      </c>
      <c r="T21" s="290"/>
      <c r="U21" s="290"/>
    </row>
    <row r="22" spans="1:31" ht="26.25" customHeight="1" x14ac:dyDescent="0.25">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8" t="str">
        <f>IF($I$11=$A$59,"Margem bruta da empresa de consultoria","Lucro")</f>
        <v>Lucro</v>
      </c>
      <c r="J22" s="278"/>
      <c r="K22" s="278"/>
      <c r="L22" s="278"/>
      <c r="M22" s="50" t="str">
        <f>IF($I$11=$A$59,"K3","L")</f>
        <v>L</v>
      </c>
      <c r="N22" s="51">
        <v>9.4100000000000003E-2</v>
      </c>
      <c r="O22" s="52" t="s">
        <v>46</v>
      </c>
      <c r="P22" s="53">
        <f>VLOOKUP(CONCATENATE(I$11,"-",M22),$C$2:$G$49,3,FALSE)</f>
        <v>6.6400000000000001E-2</v>
      </c>
      <c r="Q22" s="53">
        <f>VLOOKUP(CONCATENATE(I$11,"-",M22),$C$2:$G$49,4,FALSE)</f>
        <v>7.2999999999999995E-2</v>
      </c>
      <c r="R22" s="53">
        <f>VLOOKUP(CONCATENATE(I$11,"-",M22),$C$2:$G$49,5,FALSE)</f>
        <v>8.6899999999999991E-2</v>
      </c>
      <c r="T22" s="290"/>
      <c r="U22" s="290"/>
    </row>
    <row r="23" spans="1:31" ht="26.25" customHeight="1" x14ac:dyDescent="0.25">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2" t="s">
        <v>48</v>
      </c>
      <c r="J23" s="292"/>
      <c r="K23" s="292"/>
      <c r="L23" s="292"/>
      <c r="M23" s="50" t="s">
        <v>49</v>
      </c>
      <c r="N23" s="51">
        <v>3.6499999999999998E-2</v>
      </c>
      <c r="O23" s="52" t="s">
        <v>46</v>
      </c>
      <c r="P23" s="53">
        <v>3.6499999999999998E-2</v>
      </c>
      <c r="Q23" s="53">
        <v>3.6499999999999998E-2</v>
      </c>
      <c r="R23" s="53">
        <v>3.6499999999999998E-2</v>
      </c>
      <c r="T23" s="290"/>
      <c r="U23" s="290"/>
    </row>
    <row r="24" spans="1:31" ht="26.25" customHeight="1" x14ac:dyDescent="0.25">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8" t="s">
        <v>50</v>
      </c>
      <c r="J24" s="278"/>
      <c r="K24" s="278"/>
      <c r="L24" s="278"/>
      <c r="M24" s="50" t="s">
        <v>51</v>
      </c>
      <c r="N24" s="53">
        <f>IF($I$11&lt;&gt;$A$58,Q14*Q13,0)</f>
        <v>1.35E-2</v>
      </c>
      <c r="O24" s="52" t="s">
        <v>46</v>
      </c>
      <c r="P24" s="53">
        <v>0</v>
      </c>
      <c r="Q24" s="53">
        <v>2.5000000000000001E-2</v>
      </c>
      <c r="R24" s="53">
        <v>0.05</v>
      </c>
      <c r="T24" s="290"/>
      <c r="U24" s="290"/>
    </row>
    <row r="25" spans="1:31" ht="26.25" customHeight="1" x14ac:dyDescent="0.25">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8" t="s">
        <v>116</v>
      </c>
      <c r="J25" s="278"/>
      <c r="K25" s="278"/>
      <c r="L25" s="278"/>
      <c r="M25" s="50" t="s">
        <v>52</v>
      </c>
      <c r="N25" s="53">
        <f>IF(AND($I$11&lt;&gt;$A$58,Q11="Sim"),4.5%,0%)</f>
        <v>0</v>
      </c>
      <c r="O25" s="52" t="str">
        <f>IF(AND(N25&gt;=P25, N25&lt;=R25), "OK", "Não OK")</f>
        <v>OK</v>
      </c>
      <c r="P25" s="54">
        <v>0</v>
      </c>
      <c r="Q25" s="54">
        <v>4.4999999999999998E-2</v>
      </c>
      <c r="R25" s="54">
        <v>4.4999999999999998E-2</v>
      </c>
    </row>
    <row r="26" spans="1:31" ht="30.75" customHeight="1" x14ac:dyDescent="0.3">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8" t="s">
        <v>53</v>
      </c>
      <c r="J26" s="278"/>
      <c r="K26" s="278"/>
      <c r="L26" s="278"/>
      <c r="M26" s="55" t="s">
        <v>33</v>
      </c>
      <c r="N26" s="53">
        <f>IF($I$11=$A$58,0,ROUND((((1+N18+N19+N20)*(1+N21)*(1+N22)/(1-(N23+N24)))-1),4))</f>
        <v>0.24</v>
      </c>
      <c r="O26" s="91" t="str">
        <f>IF(OR($I$11=$A$59,$I$11=$A$58,AND(N26&gt;=P26, N26&lt;=R26)), "OK", "FORA DO INTERVALO")</f>
        <v>OK</v>
      </c>
      <c r="P26" s="53">
        <f>IF($I$11=$A$58,0,VLOOKUP(CONCATENATE($I$11,"-",$M26),$C$2:$G$49,3,FALSE))</f>
        <v>0.19600000000000001</v>
      </c>
      <c r="Q26" s="53">
        <f>IF($I$11=$A$58,0,VLOOKUP(CONCATENATE($I$11,"-",$M26),$C$2:$G$49,4,FALSE))</f>
        <v>0.2097</v>
      </c>
      <c r="R26" s="53">
        <f>IF($I$11=$A$58,0,VLOOKUP(CONCATENATE($I$11,"-",$M26),$C$2:$G$49,5,FALSE))</f>
        <v>0.24230000000000002</v>
      </c>
      <c r="T26" s="92"/>
      <c r="V26" s="93"/>
      <c r="W26" s="93"/>
      <c r="X26" s="93"/>
      <c r="Y26" s="93"/>
      <c r="Z26" s="93"/>
      <c r="AA26" s="93"/>
      <c r="AB26" s="93"/>
      <c r="AC26" s="93"/>
      <c r="AD26" s="93"/>
      <c r="AE26" s="93"/>
    </row>
    <row r="27" spans="1:31" ht="30" customHeight="1" x14ac:dyDescent="0.3">
      <c r="A27" s="42" t="s">
        <v>54</v>
      </c>
      <c r="B27" s="44" t="s">
        <v>29</v>
      </c>
      <c r="C27" s="42" t="str">
        <f t="shared" si="0"/>
        <v>Obras Portuárias, Marítimas e Fluviais-AC</v>
      </c>
      <c r="E27" s="45">
        <v>0.04</v>
      </c>
      <c r="F27" s="45">
        <v>5.5199999999999999E-2</v>
      </c>
      <c r="G27" s="45">
        <v>7.85E-2</v>
      </c>
      <c r="I27" s="279" t="s">
        <v>55</v>
      </c>
      <c r="J27" s="279"/>
      <c r="K27" s="279"/>
      <c r="L27" s="279"/>
      <c r="M27" s="56" t="s">
        <v>56</v>
      </c>
      <c r="N27" s="57">
        <f>IF($I$11=$A$58,0,ROUND((((1+N18+N19+N20)*(1+N21)*(1+N22)/(1-(N23+N24+N25)))-1),4))</f>
        <v>0.24</v>
      </c>
      <c r="O27" s="95" t="str">
        <f>IF(Q11&lt;&gt;"Sim","",O26)</f>
        <v/>
      </c>
      <c r="P27" s="280"/>
      <c r="Q27" s="280"/>
      <c r="R27" s="280"/>
      <c r="T27" s="92"/>
      <c r="V27" s="96" t="b">
        <f>AND(COUNTA(N18:N23)=6,O26&lt;&gt;"ok",NOT(V29))</f>
        <v>0</v>
      </c>
      <c r="W27" s="42" t="s">
        <v>118</v>
      </c>
    </row>
    <row r="28" spans="1:31" ht="7.5" customHeight="1" x14ac:dyDescent="0.25">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5">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7" t="s">
        <v>117</v>
      </c>
      <c r="K29" s="277"/>
      <c r="L29" s="277"/>
      <c r="M29" s="277"/>
      <c r="N29" s="277"/>
      <c r="O29" s="277"/>
      <c r="P29" s="277"/>
      <c r="Q29" s="277"/>
      <c r="R29" s="277"/>
      <c r="V29" s="96" t="b">
        <v>0</v>
      </c>
      <c r="W29" s="42" t="s">
        <v>119</v>
      </c>
    </row>
    <row r="30" spans="1:31" ht="7.5" customHeight="1" x14ac:dyDescent="0.25">
      <c r="B30" s="44"/>
      <c r="E30" s="45"/>
      <c r="F30" s="45"/>
      <c r="G30" s="45"/>
      <c r="V30" s="96"/>
    </row>
    <row r="31" spans="1:31" ht="18.75" customHeight="1" x14ac:dyDescent="0.25">
      <c r="B31" s="44"/>
      <c r="E31" s="45"/>
      <c r="F31" s="45"/>
      <c r="G31" s="45"/>
      <c r="I31" s="282" t="s">
        <v>61</v>
      </c>
      <c r="J31" s="282"/>
      <c r="K31" s="282"/>
      <c r="L31" s="282"/>
      <c r="M31" s="282"/>
      <c r="N31" s="282"/>
      <c r="O31" s="282"/>
      <c r="P31" s="282"/>
      <c r="Q31" s="282"/>
      <c r="R31" s="282"/>
    </row>
    <row r="32" spans="1:31" ht="30" customHeight="1" x14ac:dyDescent="0.3">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298" t="str">
        <f>IF(Q11="Sim","BDI.DES =","BDI.PAD =")</f>
        <v>BDI.PAD =</v>
      </c>
      <c r="M32" s="296" t="str">
        <f>IF($I$11=$A$59,"(1+K1+K2)*(1+K3)","(1+AC + S + R + G)*(1 + DF)*(1+L)")</f>
        <v>(1+AC + S + R + G)*(1 + DF)*(1+L)</v>
      </c>
      <c r="N32" s="296"/>
      <c r="O32" s="296"/>
      <c r="P32" s="294" t="s">
        <v>108</v>
      </c>
      <c r="Q32" s="85"/>
      <c r="R32" s="85"/>
    </row>
    <row r="33" spans="1:18" ht="27" customHeight="1" x14ac:dyDescent="0.25">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298"/>
      <c r="M33" s="297" t="str">
        <f>IF(Q11="Sim","(1-CP-ISS-CRPB)","(1-CP-ISS)")</f>
        <v>(1-CP-ISS)</v>
      </c>
      <c r="N33" s="297"/>
      <c r="O33" s="297"/>
      <c r="P33" s="295"/>
      <c r="Q33" s="85"/>
      <c r="R33" s="85"/>
    </row>
    <row r="34" spans="1:18" ht="7.5" customHeight="1" x14ac:dyDescent="0.25">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5">
      <c r="B35" s="49"/>
      <c r="E35" s="45"/>
      <c r="F35" s="45"/>
      <c r="G35" s="45"/>
      <c r="I35" s="283"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45%, com a respectiva alíquota de 3%.</v>
      </c>
      <c r="J35" s="283"/>
      <c r="K35" s="283"/>
      <c r="L35" s="283"/>
      <c r="M35" s="283"/>
      <c r="N35" s="283"/>
      <c r="O35" s="283"/>
      <c r="P35" s="283"/>
      <c r="Q35" s="283"/>
      <c r="R35" s="283"/>
    </row>
    <row r="36" spans="1:18" ht="11.25" customHeight="1" x14ac:dyDescent="0.25">
      <c r="B36" s="49"/>
      <c r="E36" s="45"/>
      <c r="F36" s="45"/>
      <c r="G36" s="45"/>
    </row>
    <row r="37" spans="1:18" ht="52.5" customHeight="1" x14ac:dyDescent="0.25">
      <c r="B37" s="49"/>
      <c r="E37" s="45"/>
      <c r="F37" s="45"/>
      <c r="G37" s="45"/>
      <c r="I37" s="283"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3"/>
      <c r="K37" s="283"/>
      <c r="L37" s="283"/>
      <c r="M37" s="283"/>
      <c r="N37" s="283"/>
      <c r="O37" s="283"/>
      <c r="P37" s="283"/>
      <c r="Q37" s="283"/>
      <c r="R37" s="283"/>
    </row>
    <row r="38" spans="1:18" ht="18" customHeight="1" x14ac:dyDescent="0.25">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5">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5">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5" t="s">
        <v>233</v>
      </c>
      <c r="J40" s="286"/>
      <c r="K40" s="286"/>
      <c r="L40" s="286"/>
      <c r="M40" s="286"/>
      <c r="N40" s="286"/>
      <c r="O40" s="286"/>
      <c r="P40" s="286"/>
      <c r="Q40" s="286"/>
      <c r="R40" s="287"/>
    </row>
    <row r="41" spans="1:18" ht="16.5" customHeight="1" x14ac:dyDescent="0.25">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5">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1" t="str">
        <f>PO!K132</f>
        <v>BENTO GONÇALVES/RS</v>
      </c>
      <c r="J42" s="291"/>
      <c r="K42" s="291"/>
      <c r="L42" s="291"/>
      <c r="O42" s="284">
        <f ca="1">PO!K135</f>
        <v>45699</v>
      </c>
      <c r="P42" s="284"/>
      <c r="Q42" s="284"/>
      <c r="R42" s="284"/>
    </row>
    <row r="43" spans="1:18" ht="15" customHeight="1" x14ac:dyDescent="0.25">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09" t="s">
        <v>120</v>
      </c>
      <c r="J43" s="309"/>
      <c r="K43" s="309"/>
      <c r="L43" s="309"/>
      <c r="N43" s="58"/>
      <c r="O43" s="122" t="s">
        <v>121</v>
      </c>
      <c r="P43" s="123"/>
      <c r="Q43" s="123"/>
      <c r="R43" s="123"/>
    </row>
    <row r="44" spans="1:18" x14ac:dyDescent="0.25">
      <c r="A44" s="42" t="s">
        <v>59</v>
      </c>
      <c r="B44" s="44" t="s">
        <v>104</v>
      </c>
      <c r="C44" s="42" t="str">
        <f t="shared" si="0"/>
        <v>Estudos e Projetos, Planos e Gerenciamento e outros correlatos-K1</v>
      </c>
      <c r="E44" s="45" t="s">
        <v>46</v>
      </c>
      <c r="F44" s="45" t="s">
        <v>46</v>
      </c>
      <c r="G44" s="45" t="s">
        <v>46</v>
      </c>
    </row>
    <row r="45" spans="1:18" ht="30" customHeight="1" x14ac:dyDescent="0.25">
      <c r="A45" s="42" t="str">
        <f>A44</f>
        <v>Estudos e Projetos, Planos e Gerenciamento e outros correlatos</v>
      </c>
      <c r="B45" s="44" t="s">
        <v>105</v>
      </c>
      <c r="C45" s="42" t="str">
        <f t="shared" si="0"/>
        <v>Estudos e Projetos, Planos e Gerenciamento e outros correlatos-K2</v>
      </c>
      <c r="E45" s="45" t="s">
        <v>46</v>
      </c>
      <c r="F45" s="45">
        <v>0.2</v>
      </c>
      <c r="G45" s="45" t="s">
        <v>46</v>
      </c>
      <c r="I45" s="281"/>
      <c r="J45" s="281"/>
      <c r="K45" s="281"/>
      <c r="L45" s="281"/>
      <c r="M45" s="59"/>
      <c r="N45" s="59"/>
      <c r="O45" s="281"/>
      <c r="P45" s="281"/>
      <c r="Q45" s="281"/>
      <c r="R45" s="281"/>
    </row>
    <row r="46" spans="1:18" x14ac:dyDescent="0.25">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8" t="s">
        <v>57</v>
      </c>
      <c r="J46" s="288"/>
      <c r="K46" s="288"/>
      <c r="L46" s="288"/>
      <c r="O46" s="288" t="s">
        <v>58</v>
      </c>
      <c r="P46" s="288"/>
      <c r="Q46" s="288"/>
      <c r="R46" s="288"/>
    </row>
    <row r="47" spans="1:18" ht="13.8" x14ac:dyDescent="0.25">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6">
        <f>DADOS!B54</f>
        <v>0</v>
      </c>
      <c r="K47" s="276"/>
      <c r="L47" s="276"/>
      <c r="M47" s="59"/>
      <c r="N47" s="59"/>
      <c r="O47" s="21" t="s">
        <v>140</v>
      </c>
      <c r="P47" s="289" t="s">
        <v>236</v>
      </c>
      <c r="Q47" s="289"/>
      <c r="R47" s="289"/>
    </row>
    <row r="48" spans="1:18" ht="13.8" x14ac:dyDescent="0.25">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6">
        <f>DADOS!B55</f>
        <v>0</v>
      </c>
      <c r="K48" s="276"/>
      <c r="L48" s="276"/>
      <c r="M48" s="59"/>
      <c r="N48" s="59"/>
      <c r="O48" s="21" t="s">
        <v>60</v>
      </c>
      <c r="P48" s="289" t="s">
        <v>231</v>
      </c>
      <c r="Q48" s="289"/>
      <c r="R48" s="289"/>
    </row>
    <row r="49" spans="1:18" ht="13.8" x14ac:dyDescent="0.25">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76">
        <f>DADOS!B56</f>
        <v>0</v>
      </c>
      <c r="K49" s="276"/>
      <c r="L49" s="276"/>
      <c r="M49" s="59"/>
      <c r="N49" s="59"/>
      <c r="O49" s="59"/>
      <c r="P49" s="59"/>
      <c r="Q49" s="59"/>
      <c r="R49" s="59"/>
    </row>
    <row r="50" spans="1:18" x14ac:dyDescent="0.25">
      <c r="I50" s="21" t="str">
        <f>DADOS!A57</f>
        <v>CNPJ:</v>
      </c>
      <c r="J50" s="276">
        <f>DADOS!B57</f>
        <v>0</v>
      </c>
      <c r="K50" s="276"/>
      <c r="L50" s="276"/>
    </row>
    <row r="51" spans="1:18" x14ac:dyDescent="0.25"/>
    <row r="52" spans="1:18" hidden="1" x14ac:dyDescent="0.25">
      <c r="A52" s="42" t="s">
        <v>28</v>
      </c>
    </row>
    <row r="53" spans="1:18" hidden="1" x14ac:dyDescent="0.25">
      <c r="A53" s="42" t="s">
        <v>34</v>
      </c>
    </row>
    <row r="54" spans="1:18" hidden="1" x14ac:dyDescent="0.25">
      <c r="A54" s="42" t="s">
        <v>37</v>
      </c>
    </row>
    <row r="55" spans="1:18" hidden="1" x14ac:dyDescent="0.25">
      <c r="A55" s="42" t="s">
        <v>47</v>
      </c>
    </row>
    <row r="56" spans="1:18" hidden="1" x14ac:dyDescent="0.25">
      <c r="A56" s="42" t="s">
        <v>54</v>
      </c>
    </row>
    <row r="57" spans="1:18" hidden="1" x14ac:dyDescent="0.25">
      <c r="A57" s="42" t="s">
        <v>137</v>
      </c>
    </row>
    <row r="58" spans="1:18" hidden="1" x14ac:dyDescent="0.25">
      <c r="A58" s="42" t="s">
        <v>138</v>
      </c>
    </row>
    <row r="59" spans="1:18" hidden="1" x14ac:dyDescent="0.25">
      <c r="A59" s="42" t="s">
        <v>59</v>
      </c>
    </row>
    <row r="60" spans="1:18" ht="13.8" hidden="1" x14ac:dyDescent="0.25">
      <c r="A60" s="60"/>
      <c r="B60" s="59"/>
      <c r="C60" s="59"/>
      <c r="D60" s="59"/>
      <c r="E60" s="59"/>
      <c r="F60" s="59"/>
      <c r="G60" s="59"/>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780" priority="6" stopIfTrue="1">
      <formula>$O$42=""</formula>
    </cfRule>
  </conditionalFormatting>
  <conditionalFormatting sqref="O18:O27">
    <cfRule type="expression" dxfId="779" priority="11" stopIfTrue="1">
      <formula>AND(O18&lt;&gt;"OK",O18&lt;&gt;"-",O18&lt;&gt;"")</formula>
    </cfRule>
    <cfRule type="cellIs" dxfId="778" priority="12" stopIfTrue="1" operator="equal">
      <formula>"OK"</formula>
    </cfRule>
  </conditionalFormatting>
  <conditionalFormatting sqref="I26:N26">
    <cfRule type="expression" dxfId="777" priority="10" stopIfTrue="1">
      <formula>$Q$11="Não"</formula>
    </cfRule>
  </conditionalFormatting>
  <conditionalFormatting sqref="I27:N27">
    <cfRule type="expression" dxfId="776" priority="9" stopIfTrue="1">
      <formula>$Q$11="sim"</formula>
    </cfRule>
  </conditionalFormatting>
  <conditionalFormatting sqref="P27:R27">
    <cfRule type="expression" dxfId="775" priority="8" stopIfTrue="1">
      <formula>$Q$11="sim"</formula>
    </cfRule>
  </conditionalFormatting>
  <conditionalFormatting sqref="P47:R48">
    <cfRule type="expression" dxfId="774" priority="7" stopIfTrue="1">
      <formula>P47=""</formula>
    </cfRule>
  </conditionalFormatting>
  <conditionalFormatting sqref="I29:R29">
    <cfRule type="expression" dxfId="773" priority="3" stopIfTrue="1">
      <formula>AND(NOT($V$27),NOT($V$29))</formula>
    </cfRule>
  </conditionalFormatting>
  <conditionalFormatting sqref="P18:R26">
    <cfRule type="expression" dxfId="772"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sheetPr>
  <dimension ref="A1:AA136"/>
  <sheetViews>
    <sheetView showGridLines="0" tabSelected="1" topLeftCell="J1" zoomScale="80" zoomScaleNormal="80" zoomScaleSheetLayoutView="80" workbookViewId="0">
      <pane ySplit="12" topLeftCell="A103" activePane="bottomLeft" state="frozen"/>
      <selection pane="bottomLeft" activeCell="Y13" sqref="Y13:Y120"/>
    </sheetView>
  </sheetViews>
  <sheetFormatPr defaultRowHeight="13.2" x14ac:dyDescent="0.25"/>
  <cols>
    <col min="1" max="2" width="6.6640625" hidden="1" customWidth="1"/>
    <col min="3" max="7" width="5.6640625" hidden="1" customWidth="1"/>
    <col min="8" max="9" width="6.6640625" hidden="1" customWidth="1"/>
    <col min="10" max="10" width="8.6640625" customWidth="1"/>
    <col min="11" max="11" width="12.6640625" customWidth="1"/>
    <col min="12" max="13" width="15.6640625" customWidth="1"/>
    <col min="14" max="14" width="105.77734375" customWidth="1"/>
    <col min="15" max="15" width="10.6640625" customWidth="1"/>
    <col min="16" max="17" width="15.6640625" customWidth="1"/>
    <col min="18" max="18" width="10.6640625" hidden="1" customWidth="1"/>
    <col min="19" max="19" width="15.6640625" hidden="1" customWidth="1"/>
    <col min="20" max="21" width="15.6640625" customWidth="1"/>
    <col min="22" max="22" width="9.109375" hidden="1" customWidth="1"/>
    <col min="23" max="23" width="15.6640625" hidden="1" customWidth="1"/>
    <col min="24" max="24" width="20.6640625" hidden="1" customWidth="1"/>
    <col min="25" max="25" width="15.6640625" customWidth="1"/>
  </cols>
  <sheetData>
    <row r="1" spans="1:27" ht="12.9" customHeight="1" x14ac:dyDescent="0.25">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5">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5" t="s">
        <v>181</v>
      </c>
      <c r="X2" s="315"/>
      <c r="Y2" s="1"/>
      <c r="Z2" s="1"/>
      <c r="AA2" s="1"/>
    </row>
    <row r="3" spans="1:27" ht="12.75" customHeight="1" x14ac:dyDescent="0.25">
      <c r="A3" s="1"/>
      <c r="B3" s="1"/>
      <c r="F3" s="2"/>
      <c r="G3" s="1"/>
      <c r="H3" s="1"/>
      <c r="I3" s="1"/>
      <c r="J3" s="1"/>
      <c r="K3" s="1"/>
      <c r="L3" s="1"/>
      <c r="M3" s="1"/>
      <c r="N3" s="16"/>
      <c r="O3" s="1"/>
      <c r="P3" s="1"/>
      <c r="Q3" s="1"/>
      <c r="R3" s="1"/>
      <c r="S3" s="1"/>
      <c r="T3" s="1"/>
      <c r="U3" s="1"/>
      <c r="V3" s="1"/>
      <c r="W3" s="178" t="s">
        <v>148</v>
      </c>
      <c r="X3" s="181" t="b">
        <v>1</v>
      </c>
      <c r="Y3" s="1"/>
      <c r="Z3" s="1"/>
      <c r="AA3" s="1"/>
    </row>
    <row r="4" spans="1:27" ht="24.9" customHeight="1" x14ac:dyDescent="0.25">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 customHeight="1" x14ac:dyDescent="0.25">
      <c r="A5" s="4">
        <f>MAX($A$12:$A$121)</f>
        <v>3</v>
      </c>
      <c r="B5" s="1"/>
      <c r="F5" s="2"/>
      <c r="G5" s="1"/>
      <c r="H5" s="1"/>
      <c r="I5" s="1"/>
      <c r="J5" s="1"/>
      <c r="K5" s="1"/>
      <c r="L5" s="1"/>
      <c r="M5" s="1"/>
      <c r="N5" s="1"/>
      <c r="O5" s="1"/>
      <c r="P5" s="1"/>
      <c r="Q5" s="1"/>
      <c r="R5" s="1"/>
      <c r="S5" s="1"/>
      <c r="T5" s="1"/>
      <c r="U5" s="101" t="str">
        <f ca="1">IF(COUNTIF($U$12:OFFSET($U$121,-1,0),"DESCRIÇÃO")+COUNTIF($U$12:OFFSET($U$121,-1,0),"UNIDADE")+COUNTIF($U$12:OFFSET($U$121,-1,0),"SEM VALOR")&gt;0,"NÃO OK","OK")</f>
        <v>NÃO OK</v>
      </c>
      <c r="V5" s="179" t="s">
        <v>106</v>
      </c>
      <c r="W5" s="178" t="s">
        <v>183</v>
      </c>
      <c r="X5" s="181" t="b">
        <v>1</v>
      </c>
      <c r="Y5" s="1"/>
      <c r="Z5" s="1"/>
      <c r="AA5" s="1"/>
    </row>
    <row r="6" spans="1:27" ht="24.9" customHeight="1" x14ac:dyDescent="0.25">
      <c r="A6" s="1"/>
      <c r="B6" s="1"/>
      <c r="F6" s="2"/>
      <c r="G6" s="1"/>
      <c r="H6" s="1"/>
      <c r="I6" s="1"/>
      <c r="J6" s="1"/>
      <c r="K6" s="1"/>
      <c r="L6" s="1"/>
      <c r="M6" s="1"/>
      <c r="N6" s="1"/>
      <c r="O6" s="1"/>
      <c r="P6" s="1"/>
      <c r="Q6" s="1"/>
      <c r="R6" s="1"/>
      <c r="S6" s="1"/>
      <c r="T6" s="1"/>
      <c r="U6" s="1"/>
      <c r="V6" s="1"/>
      <c r="W6" s="178" t="s">
        <v>184</v>
      </c>
      <c r="X6" s="181" t="b">
        <v>1</v>
      </c>
      <c r="Y6" s="1"/>
      <c r="Z6" s="1"/>
      <c r="AA6" s="1"/>
    </row>
    <row r="7" spans="1:27" ht="24.9" customHeight="1" x14ac:dyDescent="0.25">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5">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5">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5">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5">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IF(OR($A11="S",$A11=0),0,MATCH(0,OFFSET($B11,1,$A11,ROW($A$121)-ROW($A11)),0))</f>
        <v>0</v>
      </c>
      <c r="I11">
        <f ca="1">IF(OR($A11="S",$A11=0),0,MATCH(OFFSET($B11,0,$A11)+1,OFFSET($B11,1,$A11,ROW($A$121)-ROW($A11)),0))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0.24</v>
      </c>
      <c r="AA11" s="1"/>
    </row>
    <row r="12" spans="1:27" x14ac:dyDescent="0.25">
      <c r="A12">
        <v>0</v>
      </c>
      <c r="B12">
        <f ca="1">COUNTA(OFFSET(B12,1,0):B$121)</f>
        <v>108</v>
      </c>
      <c r="J12" s="64" t="str">
        <f>IF(OR(TipoOrçamento="LICITADO",TipoOrçamento="REPROGRAMADOAC"),"CTEF","LOTE")</f>
        <v>CTEF</v>
      </c>
      <c r="K12" s="139">
        <v>0</v>
      </c>
      <c r="L12" s="6"/>
      <c r="M12" s="6"/>
      <c r="N12" s="73">
        <f>IF(TipoOrçamento="LICITADO",DADOS!O43,DADOS!G38)</f>
        <v>0</v>
      </c>
      <c r="O12" s="6"/>
      <c r="P12" s="7"/>
      <c r="Q12" s="7"/>
      <c r="R12" s="8"/>
      <c r="S12" s="7"/>
      <c r="T12" s="82">
        <f ca="1">SUMIF(OFFSET($J12,1,0,ROW(T121)-ROW(T12)-1),"Serviço",OFFSET(T12,1,0,ROW(T121)-ROW(T12)-1))</f>
        <v>0</v>
      </c>
      <c r="U12" s="9" t="str">
        <f>IF($N12=0,"DESCRIÇÃO","")</f>
        <v>DESCRIÇÃO</v>
      </c>
      <c r="V12" s="1">
        <v>0</v>
      </c>
      <c r="W12" s="1"/>
      <c r="X12" s="1"/>
      <c r="Y12" s="7"/>
      <c r="Z12" s="114"/>
      <c r="AA12" s="1"/>
    </row>
    <row r="13" spans="1:27" x14ac:dyDescent="0.25">
      <c r="A13">
        <f t="shared" ref="A13:A37" si="0">CHOOSE(1+LOG(1+2*(J13="Meta")+4*(J13="Nível 2")+8*(J13="Nível 3")+16*(J13="Nível 4")+32*(J13="Serviço"),2),0,1,2,3,4,"S")</f>
        <v>1</v>
      </c>
      <c r="B13">
        <f t="shared" ref="B13:B37" ca="1" si="1">IF(OR(A13="S",A13=0),0,IF(ISERROR(I13),H13,SMALL(H13:I13,1)))</f>
        <v>4</v>
      </c>
      <c r="C13">
        <f t="shared" ref="C13:C120" ca="1" si="2">IF($A13=1,OFFSET(C13,-1,0)+1,OFFSET(C13,-1,0))</f>
        <v>1</v>
      </c>
      <c r="D13">
        <f t="shared" ref="D13:D120" ca="1" si="3">IF($A13=1,0,IF($A13=2,OFFSET(D13,-1,0)+1,OFFSET(D13,-1,0)))</f>
        <v>0</v>
      </c>
      <c r="E13">
        <f t="shared" ref="E13:E120" ca="1" si="4">IF(AND($A13&lt;=2,$A13&lt;&gt;0),0,IF($A13=3,OFFSET(E13,-1,0)+1,OFFSET(E13,-1,0)))</f>
        <v>0</v>
      </c>
      <c r="F13">
        <f t="shared" ref="F13:F120" ca="1" si="5">IF(AND($A13&lt;=3,$A13&lt;&gt;0),0,IF($A13=4,OFFSET(F13,-1,0)+1,OFFSET(F13,-1,0)))</f>
        <v>0</v>
      </c>
      <c r="G13">
        <f t="shared" ref="G13:G120" ca="1" si="6">IF(AND($A13&lt;=4,$A13&lt;&gt;0),0,IF($A13="S",OFFSET(G13,-1,0)+1,OFFSET(G13,-1,0)))</f>
        <v>0</v>
      </c>
      <c r="H13">
        <f t="shared" ref="H13:H46" ca="1" si="7">IF(OR($A13="S",$A13=0),0,MATCH(0,OFFSET($B13,1,$A13,ROW($A$121)-ROW($A13)),0))</f>
        <v>108</v>
      </c>
      <c r="I13">
        <f t="shared" ref="I13:I46" ca="1" si="8">IF(OR($A13="S",$A13=0),0,MATCH(OFFSET($B13,0,$A13)+1,OFFSET($B13,1,$A13,ROW($A$121)-ROW($A13)),0))</f>
        <v>4</v>
      </c>
      <c r="J13" s="353" t="s">
        <v>99</v>
      </c>
      <c r="K13" s="138" t="str">
        <f t="shared" ref="K13:K37" ca="1" si="9">IF($A13=0,"-",CONCATENATE(C13&amp;".",IF(AND($A$5&gt;=2,$A13&gt;=2),D13&amp;".",""),IF(AND($A$5&gt;=3,$A13&gt;=3),E13&amp;".",""),IF(AND($A$5&gt;=4,$A13&gt;=4),F13&amp;".",""),IF($A13="S",G13&amp;".","")))</f>
        <v>1.</v>
      </c>
      <c r="L13" s="355"/>
      <c r="M13" s="355"/>
      <c r="N13" s="356" t="s">
        <v>252</v>
      </c>
      <c r="O13" s="357"/>
      <c r="P13" s="358">
        <v>0</v>
      </c>
      <c r="Q13" s="195"/>
      <c r="R13" s="198" t="s">
        <v>7</v>
      </c>
      <c r="S13" s="103">
        <f t="shared" ref="S13:S120" si="10">IF($A13="S",IF($Q$10="Preço Unitário (R$)",PO.CustoUnitario,ROUND(PO.CustoUnitario*(1+$Z13),15-13*$X$6)),0)</f>
        <v>0</v>
      </c>
      <c r="T13" s="83">
        <f t="shared" ref="T13:T120" ca="1" si="11">IF($A13="S",VTOTAL1,IF($A13=0,0,ROUND(SomaAgrup,15-13*$X$7)))</f>
        <v>0</v>
      </c>
      <c r="U13" s="9" t="str">
        <f t="shared" ref="U13:U120" ca="1" si="12">IF($J13="","",IF($N13="","DESCRIÇÃO",IF(AND($J13="Serviço",$O13=""),"UNIDADE",IF($T13&lt;=0,"SEM VALOR",IF(AND($Y13&lt;&gt;"",$Q13&gt;$Y13),"ACIMA REF.","")))))</f>
        <v>SEM VALOR</v>
      </c>
      <c r="V13" s="1">
        <f ca="1">IF(OR($A13=0,$A13="S",$A13&gt;CFF!$A$9),"",MAX(V$12:OFFSET(V13,-1,0))+1)</f>
        <v>1</v>
      </c>
      <c r="W13" s="4" t="b">
        <f t="shared" ref="W13:W120" si="13">IF(AND($J13="Serviço",$M13&lt;&gt;""),IF($L13="",$M13,CONCATENATE($L13,"-",$M13)))</f>
        <v>0</v>
      </c>
      <c r="X13" s="1" t="str">
        <f t="shared" ref="X13:X120" ca="1" si="14">IF(AND(Fonte&lt;&gt;"",Código&lt;&gt;""),MATCH(Fonte&amp;" "&amp;IF(Fonte="sinapi",SUBSTITUTE(SUBSTITUTE(Código,"/00","/"),"/0","/"),Código),INDIRECT("'[Referência "&amp;_xlnm.Database&amp;".xls]Banco'!$a:$a"),0),"X")</f>
        <v>X</v>
      </c>
      <c r="Y13" s="103">
        <v>0</v>
      </c>
      <c r="Z13" s="113">
        <f ca="1">ROUND(IF(ISNUMBER(R13),R13,IF(LEFT(R13,3)="BDI",HLOOKUP(R13,DADOS!$T$37:$X$38,2,FALSE),0)),15-11*$X$5)</f>
        <v>0.24</v>
      </c>
      <c r="AA13" s="1"/>
    </row>
    <row r="14" spans="1:27" ht="26.4" x14ac:dyDescent="0.25">
      <c r="A14" t="str">
        <f t="shared" si="0"/>
        <v>S</v>
      </c>
      <c r="B14">
        <f t="shared" si="1"/>
        <v>0</v>
      </c>
      <c r="C14">
        <f t="shared" ca="1" si="2"/>
        <v>1</v>
      </c>
      <c r="D14">
        <f t="shared" ca="1" si="3"/>
        <v>0</v>
      </c>
      <c r="E14">
        <f t="shared" ca="1" si="4"/>
        <v>0</v>
      </c>
      <c r="F14">
        <f t="shared" ca="1" si="5"/>
        <v>0</v>
      </c>
      <c r="G14">
        <f t="shared" ca="1" si="6"/>
        <v>1</v>
      </c>
      <c r="H14">
        <f t="shared" ca="1" si="7"/>
        <v>0</v>
      </c>
      <c r="I14">
        <f t="shared" ca="1" si="8"/>
        <v>0</v>
      </c>
      <c r="J14" s="354" t="s">
        <v>103</v>
      </c>
      <c r="K14" s="138" t="str">
        <f t="shared" ca="1" si="9"/>
        <v>1.0.0.1.</v>
      </c>
      <c r="L14" s="355" t="s">
        <v>253</v>
      </c>
      <c r="M14" s="355" t="s">
        <v>254</v>
      </c>
      <c r="N14" s="356" t="s">
        <v>287</v>
      </c>
      <c r="O14" s="357" t="s">
        <v>248</v>
      </c>
      <c r="P14" s="359">
        <v>4.5</v>
      </c>
      <c r="Q14" s="195"/>
      <c r="R14" s="198" t="s">
        <v>7</v>
      </c>
      <c r="S14" s="103">
        <f t="shared" si="10"/>
        <v>0</v>
      </c>
      <c r="T14" s="83">
        <f t="shared" si="11"/>
        <v>0</v>
      </c>
      <c r="U14" s="9" t="str">
        <f t="shared" si="12"/>
        <v>SEM VALOR</v>
      </c>
      <c r="V14" s="1" t="str">
        <f ca="1">IF(OR($A14=0,$A14="S",$A14&gt;CFF!$A$9),"",MAX(V$12:OFFSET(V14,-1,0))+1)</f>
        <v/>
      </c>
      <c r="W14" s="4" t="str">
        <f t="shared" si="13"/>
        <v>SINAPI-103689</v>
      </c>
      <c r="X14" s="1">
        <f t="shared" ca="1" si="14"/>
        <v>6356</v>
      </c>
      <c r="Y14" s="103">
        <v>570.34</v>
      </c>
      <c r="Z14" s="113">
        <f ca="1">ROUND(IF(ISNUMBER(R14),R14,IF(LEFT(R14,3)="BDI",HLOOKUP(R14,DADOS!$T$37:$X$38,2,FALSE),0)),15-11*$X$5)</f>
        <v>0.24</v>
      </c>
      <c r="AA14" s="1"/>
    </row>
    <row r="15" spans="1:27" x14ac:dyDescent="0.25">
      <c r="A15" t="str">
        <f t="shared" si="0"/>
        <v>S</v>
      </c>
      <c r="B15">
        <f t="shared" si="1"/>
        <v>0</v>
      </c>
      <c r="C15">
        <f t="shared" ca="1" si="2"/>
        <v>1</v>
      </c>
      <c r="D15">
        <f t="shared" ca="1" si="3"/>
        <v>0</v>
      </c>
      <c r="E15">
        <f t="shared" ca="1" si="4"/>
        <v>0</v>
      </c>
      <c r="F15">
        <f t="shared" ca="1" si="5"/>
        <v>0</v>
      </c>
      <c r="G15">
        <f t="shared" ca="1" si="6"/>
        <v>2</v>
      </c>
      <c r="H15">
        <f t="shared" ca="1" si="7"/>
        <v>0</v>
      </c>
      <c r="I15">
        <f t="shared" ca="1" si="8"/>
        <v>0</v>
      </c>
      <c r="J15" s="354" t="s">
        <v>103</v>
      </c>
      <c r="K15" s="138" t="str">
        <f t="shared" ca="1" si="9"/>
        <v>1.0.0.2.</v>
      </c>
      <c r="L15" s="355" t="s">
        <v>253</v>
      </c>
      <c r="M15" s="355" t="s">
        <v>255</v>
      </c>
      <c r="N15" s="356" t="s">
        <v>288</v>
      </c>
      <c r="O15" s="357" t="s">
        <v>294</v>
      </c>
      <c r="P15" s="358">
        <v>80</v>
      </c>
      <c r="Q15" s="195"/>
      <c r="R15" s="198" t="s">
        <v>7</v>
      </c>
      <c r="S15" s="103">
        <f t="shared" si="10"/>
        <v>0</v>
      </c>
      <c r="T15" s="83">
        <f t="shared" si="11"/>
        <v>0</v>
      </c>
      <c r="U15" s="9" t="str">
        <f t="shared" si="12"/>
        <v>SEM VALOR</v>
      </c>
      <c r="V15" s="1" t="str">
        <f ca="1">IF(OR($A15=0,$A15="S",$A15&gt;CFF!$A$9),"",MAX(V$12:OFFSET(V15,-1,0))+1)</f>
        <v/>
      </c>
      <c r="W15" s="4" t="str">
        <f t="shared" si="13"/>
        <v>SINAPI-90778</v>
      </c>
      <c r="X15" s="1">
        <f t="shared" ca="1" si="14"/>
        <v>7568</v>
      </c>
      <c r="Y15" s="103">
        <v>157.19</v>
      </c>
      <c r="Z15" s="113">
        <f ca="1">ROUND(IF(ISNUMBER(R15),R15,IF(LEFT(R15,3)="BDI",HLOOKUP(R15,DADOS!$T$37:$X$38,2,FALSE),0)),15-11*$X$5)</f>
        <v>0.24</v>
      </c>
      <c r="AA15" s="1"/>
    </row>
    <row r="16" spans="1:27" x14ac:dyDescent="0.25">
      <c r="A16" t="str">
        <f>CHOOSE(1+LOG(1+2*(J16="Meta")+4*(J16="Nível 2")+8*(J16="Nível 3")+16*(J16="Nível 4")+32*(J16="Serviço"),2),0,1,2,3,4,"S")</f>
        <v>S</v>
      </c>
      <c r="B16">
        <f>IF(OR(A16="S",A16=0),0,IF(ISERROR(I16),H16,SMALL(H16:I16,1)))</f>
        <v>0</v>
      </c>
      <c r="C16">
        <f ca="1">IF($A16=1,OFFSET(C16,-1,0)+1,OFFSET(C16,-1,0))</f>
        <v>1</v>
      </c>
      <c r="D16">
        <f ca="1">IF($A16=1,0,IF($A16=2,OFFSET(D16,-1,0)+1,OFFSET(D16,-1,0)))</f>
        <v>0</v>
      </c>
      <c r="E16">
        <f ca="1">IF(AND($A16&lt;=2,$A16&lt;&gt;0),0,IF($A16=3,OFFSET(E16,-1,0)+1,OFFSET(E16,-1,0)))</f>
        <v>0</v>
      </c>
      <c r="F16">
        <f ca="1">IF(AND($A16&lt;=3,$A16&lt;&gt;0),0,IF($A16=4,OFFSET(F16,-1,0)+1,OFFSET(F16,-1,0)))</f>
        <v>0</v>
      </c>
      <c r="G16">
        <f ca="1">IF(AND($A16&lt;=4,$A16&lt;&gt;0),0,IF($A16="S",OFFSET(G16,-1,0)+1,OFFSET(G16,-1,0)))</f>
        <v>3</v>
      </c>
      <c r="H16">
        <f t="shared" ca="1" si="7"/>
        <v>0</v>
      </c>
      <c r="I16">
        <f t="shared" ca="1" si="8"/>
        <v>0</v>
      </c>
      <c r="J16" s="354" t="s">
        <v>103</v>
      </c>
      <c r="K16" s="138" t="str">
        <f ca="1">IF($A16=0,"-",CONCATENATE(C16&amp;".",IF(AND($A$5&gt;=2,$A16&gt;=2),D16&amp;".",""),IF(AND($A$5&gt;=3,$A16&gt;=3),E16&amp;".",""),IF(AND($A$5&gt;=4,$A16&gt;=4),F16&amp;".",""),IF($A16="S",G16&amp;".","")))</f>
        <v>1.0.0.3.</v>
      </c>
      <c r="L16" s="355" t="s">
        <v>256</v>
      </c>
      <c r="M16" s="355" t="s">
        <v>276</v>
      </c>
      <c r="N16" s="356" t="s">
        <v>289</v>
      </c>
      <c r="O16" s="357" t="s">
        <v>295</v>
      </c>
      <c r="P16" s="358">
        <v>1</v>
      </c>
      <c r="Q16" s="195"/>
      <c r="R16" s="198" t="s">
        <v>7</v>
      </c>
      <c r="S16" s="103">
        <f>IF($A16="S",IF($Q$10="Preço Unitário (R$)",PO.CustoUnitario,ROUND(PO.CustoUnitario*(1+$Z16),15-13*$X$6)),0)</f>
        <v>0</v>
      </c>
      <c r="T16" s="83">
        <f>IF($A16="S",VTOTAL1,IF($A16=0,0,ROUND(SomaAgrup,15-13*$X$7)))</f>
        <v>0</v>
      </c>
      <c r="U16" s="9" t="str">
        <f>IF($J16="","",IF($N16="","DESCRIÇÃO",IF(AND($J16="Serviço",$O16=""),"UNIDADE",IF($T16&lt;=0,"SEM VALOR",IF(AND($Y16&lt;&gt;"",$Q16&gt;$Y16),"ACIMA REF.","")))))</f>
        <v>SEM VALOR</v>
      </c>
      <c r="V16" s="1" t="str">
        <f ca="1">IF(OR($A16=0,$A16="S",$A16&gt;CFF!$A$9),"",MAX(V$12:OFFSET(V16,-1,0))+1)</f>
        <v/>
      </c>
      <c r="W16" s="4" t="str">
        <f>IF(AND($J16="Serviço",$M16&lt;&gt;""),IF($L16="",$M16,CONCATENATE($L16,"-",$M16)))</f>
        <v>PM BENTO-94</v>
      </c>
      <c r="X16" s="1">
        <f ca="1">IF(AND(Fonte&lt;&gt;"",Código&lt;&gt;""),MATCH(Fonte&amp;" "&amp;IF(Fonte="sinapi",SUBSTITUTE(SUBSTITUTE(Código,"/00","/"),"/0","/"),Código),INDIRECT("'[Referência "&amp;_xlnm.Database&amp;".xls]Banco'!$a:$a"),0),"X")</f>
        <v>111</v>
      </c>
      <c r="Y16" s="103">
        <v>6074.26</v>
      </c>
      <c r="Z16" s="113">
        <f ca="1">ROUND(IF(ISNUMBER(R16),R16,IF(LEFT(R16,3)="BDI",HLOOKUP(R16,DADOS!$T$37:$X$38,2,FALSE),0)),15-11*$X$5)</f>
        <v>0.24</v>
      </c>
      <c r="AA16" s="1"/>
    </row>
    <row r="17" spans="1:27" x14ac:dyDescent="0.25">
      <c r="A17">
        <f>CHOOSE(1+LOG(1+2*(J17="Meta")+4*(J17="Nível 2")+8*(J17="Nível 3")+16*(J17="Nível 4")+32*(J17="Serviço"),2),0,1,2,3,4,"S")</f>
        <v>1</v>
      </c>
      <c r="B17">
        <f ca="1">IF(OR(A17="S",A17=0),0,IF(ISERROR(I17),H17,SMALL(H17:I17,1)))</f>
        <v>21</v>
      </c>
      <c r="C17">
        <f ca="1">IF($A17=1,OFFSET(C17,-1,0)+1,OFFSET(C17,-1,0))</f>
        <v>2</v>
      </c>
      <c r="D17">
        <f ca="1">IF($A17=1,0,IF($A17=2,OFFSET(D17,-1,0)+1,OFFSET(D17,-1,0)))</f>
        <v>0</v>
      </c>
      <c r="E17">
        <f ca="1">IF(AND($A17&lt;=2,$A17&lt;&gt;0),0,IF($A17=3,OFFSET(E17,-1,0)+1,OFFSET(E17,-1,0)))</f>
        <v>0</v>
      </c>
      <c r="F17">
        <f ca="1">IF(AND($A17&lt;=3,$A17&lt;&gt;0),0,IF($A17=4,OFFSET(F17,-1,0)+1,OFFSET(F17,-1,0)))</f>
        <v>0</v>
      </c>
      <c r="G17">
        <f ca="1">IF(AND($A17&lt;=4,$A17&lt;&gt;0),0,IF($A17="S",OFFSET(G17,-1,0)+1,OFFSET(G17,-1,0)))</f>
        <v>0</v>
      </c>
      <c r="H17">
        <f t="shared" ca="1" si="7"/>
        <v>104</v>
      </c>
      <c r="I17">
        <f t="shared" ca="1" si="8"/>
        <v>21</v>
      </c>
      <c r="J17" s="354" t="s">
        <v>99</v>
      </c>
      <c r="K17" s="138" t="str">
        <f ca="1">IF($A17=0,"-",CONCATENATE(C17&amp;".",IF(AND($A$5&gt;=2,$A17&gt;=2),D17&amp;".",""),IF(AND($A$5&gt;=3,$A17&gt;=3),E17&amp;".",""),IF(AND($A$5&gt;=4,$A17&gt;=4),F17&amp;".",""),IF($A17="S",G17&amp;".","")))</f>
        <v>2.</v>
      </c>
      <c r="L17" s="355"/>
      <c r="M17" s="355"/>
      <c r="N17" s="356" t="s">
        <v>278</v>
      </c>
      <c r="O17" s="357" t="s">
        <v>106</v>
      </c>
      <c r="P17" s="358"/>
      <c r="Q17" s="195"/>
      <c r="R17" s="198" t="s">
        <v>7</v>
      </c>
      <c r="S17" s="103">
        <f>IF($A17="S",IF($Q$10="Preço Unitário (R$)",PO.CustoUnitario,ROUND(PO.CustoUnitario*(1+$Z17),15-13*$X$6)),0)</f>
        <v>0</v>
      </c>
      <c r="T17" s="83">
        <f ca="1">IF($A17="S",VTOTAL1,IF($A17=0,0,ROUND(SomaAgrup,15-13*$X$7)))</f>
        <v>0</v>
      </c>
      <c r="U17" s="9" t="str">
        <f ca="1">IF($J17="","",IF($N17="","DESCRIÇÃO",IF(AND($J17="Serviço",$O17=""),"UNIDADE",IF($T17&lt;=0,"SEM VALOR",IF(AND($Y17&lt;&gt;"",$Q17&gt;$Y17),"ACIMA REF.","")))))</f>
        <v>SEM VALOR</v>
      </c>
      <c r="V17" s="1">
        <f ca="1">IF(OR($A17=0,$A17="S",$A17&gt;CFF!$A$9),"",MAX(V$12:OFFSET(V17,-1,0))+1)</f>
        <v>2</v>
      </c>
      <c r="W17" s="4" t="b">
        <f>IF(AND($J17="Serviço",$M17&lt;&gt;""),IF($L17="",$M17,CONCATENATE($L17,"-",$M17)))</f>
        <v>0</v>
      </c>
      <c r="X17" s="1" t="str">
        <f ca="1">IF(AND(Fonte&lt;&gt;"",Código&lt;&gt;""),MATCH(Fonte&amp;" "&amp;IF(Fonte="sinapi",SUBSTITUTE(SUBSTITUTE(Código,"/00","/"),"/0","/"),Código),INDIRECT("'[Referência "&amp;_xlnm.Database&amp;".xls]Banco'!$a:$a"),0),"X")</f>
        <v>X</v>
      </c>
      <c r="Y17" s="103">
        <v>0</v>
      </c>
      <c r="Z17" s="113">
        <f ca="1">ROUND(IF(ISNUMBER(R17),R17,IF(LEFT(R17,3)="BDI",HLOOKUP(R17,DADOS!$T$37:$X$38,2,FALSE),0)),15-11*$X$5)</f>
        <v>0.24</v>
      </c>
      <c r="AA17" s="1"/>
    </row>
    <row r="18" spans="1:27" x14ac:dyDescent="0.25">
      <c r="A18">
        <f t="shared" si="0"/>
        <v>2</v>
      </c>
      <c r="B18">
        <f t="shared" ca="1" si="1"/>
        <v>6</v>
      </c>
      <c r="C18">
        <f t="shared" ca="1" si="2"/>
        <v>2</v>
      </c>
      <c r="D18">
        <f t="shared" ca="1" si="3"/>
        <v>1</v>
      </c>
      <c r="E18">
        <f t="shared" ca="1" si="4"/>
        <v>0</v>
      </c>
      <c r="F18">
        <f t="shared" ca="1" si="5"/>
        <v>0</v>
      </c>
      <c r="G18">
        <f t="shared" ca="1" si="6"/>
        <v>0</v>
      </c>
      <c r="H18">
        <f t="shared" ca="1" si="7"/>
        <v>20</v>
      </c>
      <c r="I18">
        <f t="shared" ca="1" si="8"/>
        <v>6</v>
      </c>
      <c r="J18" s="354" t="s">
        <v>100</v>
      </c>
      <c r="K18" s="138" t="str">
        <f t="shared" ca="1" si="9"/>
        <v>2.1.</v>
      </c>
      <c r="L18" s="355"/>
      <c r="M18" s="355"/>
      <c r="N18" s="356" t="s">
        <v>258</v>
      </c>
      <c r="O18" s="357" t="s">
        <v>106</v>
      </c>
      <c r="P18" s="358"/>
      <c r="Q18" s="195"/>
      <c r="R18" s="198" t="s">
        <v>7</v>
      </c>
      <c r="S18" s="103">
        <f t="shared" si="10"/>
        <v>0</v>
      </c>
      <c r="T18" s="83">
        <f t="shared" ca="1" si="11"/>
        <v>0</v>
      </c>
      <c r="U18" s="9" t="str">
        <f t="shared" ca="1" si="12"/>
        <v>SEM VALOR</v>
      </c>
      <c r="V18" s="1">
        <f ca="1">IF(OR($A18=0,$A18="S",$A18&gt;CFF!$A$9),"",MAX(V$12:OFFSET(V18,-1,0))+1)</f>
        <v>3</v>
      </c>
      <c r="W18" s="4" t="b">
        <f t="shared" si="13"/>
        <v>0</v>
      </c>
      <c r="X18" s="1" t="str">
        <f t="shared" ca="1" si="14"/>
        <v>X</v>
      </c>
      <c r="Y18" s="103">
        <v>0</v>
      </c>
      <c r="Z18" s="113">
        <f ca="1">ROUND(IF(ISNUMBER(R18),R18,IF(LEFT(R18,3)="BDI",HLOOKUP(R18,DADOS!$T$37:$X$38,2,FALSE),0)),15-11*$X$5)</f>
        <v>0.24</v>
      </c>
      <c r="AA18" s="1"/>
    </row>
    <row r="19" spans="1:27" x14ac:dyDescent="0.25">
      <c r="A19" t="str">
        <f>CHOOSE(1+LOG(1+2*(J19="Meta")+4*(J19="Nível 2")+8*(J19="Nível 3")+16*(J19="Nível 4")+32*(J19="Serviço"),2),0,1,2,3,4,"S")</f>
        <v>S</v>
      </c>
      <c r="B19">
        <f>IF(OR(A19="S",A19=0),0,IF(ISERROR(I19),H19,SMALL(H19:I19,1)))</f>
        <v>0</v>
      </c>
      <c r="C19">
        <f ca="1">IF($A19=1,OFFSET(C19,-1,0)+1,OFFSET(C19,-1,0))</f>
        <v>2</v>
      </c>
      <c r="D19">
        <f ca="1">IF($A19=1,0,IF($A19=2,OFFSET(D19,-1,0)+1,OFFSET(D19,-1,0)))</f>
        <v>1</v>
      </c>
      <c r="E19">
        <f ca="1">IF(AND($A19&lt;=2,$A19&lt;&gt;0),0,IF($A19=3,OFFSET(E19,-1,0)+1,OFFSET(E19,-1,0)))</f>
        <v>0</v>
      </c>
      <c r="F19">
        <f ca="1">IF(AND($A19&lt;=3,$A19&lt;&gt;0),0,IF($A19=4,OFFSET(F19,-1,0)+1,OFFSET(F19,-1,0)))</f>
        <v>0</v>
      </c>
      <c r="G19">
        <f ca="1">IF(AND($A19&lt;=4,$A19&lt;&gt;0),0,IF($A19="S",OFFSET(G19,-1,0)+1,OFFSET(G19,-1,0)))</f>
        <v>1</v>
      </c>
      <c r="H19">
        <f t="shared" ca="1" si="7"/>
        <v>0</v>
      </c>
      <c r="I19">
        <f t="shared" ca="1" si="8"/>
        <v>0</v>
      </c>
      <c r="J19" s="354" t="s">
        <v>103</v>
      </c>
      <c r="K19" s="138" t="str">
        <f ca="1">IF($A19=0,"-",CONCATENATE(C19&amp;".",IF(AND($A$5&gt;=2,$A19&gt;=2),D19&amp;".",""),IF(AND($A$5&gt;=3,$A19&gt;=3),E19&amp;".",""),IF(AND($A$5&gt;=4,$A19&gt;=4),F19&amp;".",""),IF($A19="S",G19&amp;".","")))</f>
        <v>2.1.0.1.</v>
      </c>
      <c r="L19" s="355" t="s">
        <v>256</v>
      </c>
      <c r="M19" s="355" t="s">
        <v>257</v>
      </c>
      <c r="N19" s="356" t="s">
        <v>290</v>
      </c>
      <c r="O19" s="357" t="s">
        <v>296</v>
      </c>
      <c r="P19" s="358">
        <v>75</v>
      </c>
      <c r="Q19" s="195"/>
      <c r="R19" s="198" t="s">
        <v>7</v>
      </c>
      <c r="S19" s="103">
        <f>IF($A19="S",IF($Q$10="Preço Unitário (R$)",PO.CustoUnitario,ROUND(PO.CustoUnitario*(1+$Z19),15-13*$X$6)),0)</f>
        <v>0</v>
      </c>
      <c r="T19" s="83">
        <f>IF($A19="S",VTOTAL1,IF($A19=0,0,ROUND(SomaAgrup,15-13*$X$7)))</f>
        <v>0</v>
      </c>
      <c r="U19" s="9" t="str">
        <f>IF($J19="","",IF($N19="","DESCRIÇÃO",IF(AND($J19="Serviço",$O19=""),"UNIDADE",IF($T19&lt;=0,"SEM VALOR",IF(AND($Y19&lt;&gt;"",$Q19&gt;$Y19),"ACIMA REF.","")))))</f>
        <v>SEM VALOR</v>
      </c>
      <c r="V19" s="1" t="str">
        <f ca="1">IF(OR($A19=0,$A19="S",$A19&gt;CFF!$A$9),"",MAX(V$12:OFFSET(V19,-1,0))+1)</f>
        <v/>
      </c>
      <c r="W19" s="4" t="str">
        <f>IF(AND($J19="Serviço",$M19&lt;&gt;""),IF($L19="",$M19,CONCATENATE($L19,"-",$M19)))</f>
        <v>PM BENTO-78</v>
      </c>
      <c r="X19" s="1">
        <f t="shared" ca="1" si="14"/>
        <v>82</v>
      </c>
      <c r="Y19" s="103">
        <v>4.79</v>
      </c>
      <c r="Z19" s="113">
        <f ca="1">ROUND(IF(ISNUMBER(R19),R19,IF(LEFT(R19,3)="BDI",HLOOKUP(R19,DADOS!$T$37:$X$38,2,FALSE),0)),15-11*$X$5)</f>
        <v>0.24</v>
      </c>
      <c r="AA19" s="1"/>
    </row>
    <row r="20" spans="1:27" ht="26.4" x14ac:dyDescent="0.25">
      <c r="A20" t="str">
        <f>CHOOSE(1+LOG(1+2*(J20="Meta")+4*(J20="Nível 2")+8*(J20="Nível 3")+16*(J20="Nível 4")+32*(J20="Serviço"),2),0,1,2,3,4,"S")</f>
        <v>S</v>
      </c>
      <c r="B20">
        <f>IF(OR(A20="S",A20=0),0,IF(ISERROR(I20),H20,SMALL(H20:I20,1)))</f>
        <v>0</v>
      </c>
      <c r="C20">
        <f ca="1">IF($A20=1,OFFSET(C20,-1,0)+1,OFFSET(C20,-1,0))</f>
        <v>2</v>
      </c>
      <c r="D20">
        <f ca="1">IF($A20=1,0,IF($A20=2,OFFSET(D20,-1,0)+1,OFFSET(D20,-1,0)))</f>
        <v>1</v>
      </c>
      <c r="E20">
        <f ca="1">IF(AND($A20&lt;=2,$A20&lt;&gt;0),0,IF($A20=3,OFFSET(E20,-1,0)+1,OFFSET(E20,-1,0)))</f>
        <v>0</v>
      </c>
      <c r="F20">
        <f ca="1">IF(AND($A20&lt;=3,$A20&lt;&gt;0),0,IF($A20=4,OFFSET(F20,-1,0)+1,OFFSET(F20,-1,0)))</f>
        <v>0</v>
      </c>
      <c r="G20">
        <f ca="1">IF(AND($A20&lt;=4,$A20&lt;&gt;0),0,IF($A20="S",OFFSET(G20,-1,0)+1,OFFSET(G20,-1,0)))</f>
        <v>2</v>
      </c>
      <c r="H20">
        <f ca="1">IF(OR($A20="S",$A20=0),0,MATCH(0,OFFSET($B20,1,$A20,ROW($A$121)-ROW($A20)),0))</f>
        <v>0</v>
      </c>
      <c r="I20">
        <f ca="1">IF(OR($A20="S",$A20=0),0,MATCH(OFFSET($B20,0,$A20)+1,OFFSET($B20,1,$A20,ROW($A$121)-ROW($A20)),0))</f>
        <v>0</v>
      </c>
      <c r="J20" s="354" t="s">
        <v>103</v>
      </c>
      <c r="K20" s="138" t="str">
        <f ca="1">IF($A20=0,"-",CONCATENATE(C20&amp;".",IF(AND($A$5&gt;=2,$A20&gt;=2),D20&amp;".",""),IF(AND($A$5&gt;=3,$A20&gt;=3),E20&amp;".",""),IF(AND($A$5&gt;=4,$A20&gt;=4),F20&amp;".",""),IF($A20="S",G20&amp;".","")))</f>
        <v>2.1.0.2.</v>
      </c>
      <c r="L20" s="355" t="s">
        <v>237</v>
      </c>
      <c r="M20" s="355" t="s">
        <v>284</v>
      </c>
      <c r="N20" s="356" t="s">
        <v>285</v>
      </c>
      <c r="O20" s="357" t="s">
        <v>238</v>
      </c>
      <c r="P20" s="358">
        <f>P19*7*0.5</f>
        <v>262.5</v>
      </c>
      <c r="Q20" s="195"/>
      <c r="R20" s="198" t="s">
        <v>7</v>
      </c>
      <c r="S20" s="103">
        <f>IF($A20="S",IF($Q$10="Preço Unitário (R$)",PO.CustoUnitario,ROUND(PO.CustoUnitario*(1+$Z20),15-13*$X$6)),0)</f>
        <v>0</v>
      </c>
      <c r="T20" s="83">
        <f>IF($A20="S",VTOTAL1,IF($A20=0,0,ROUND(SomaAgrup,15-13*$X$7)))</f>
        <v>0</v>
      </c>
      <c r="U20" s="9" t="str">
        <f>IF($J20="","",IF($N20="","DESCRIÇÃO",IF(AND($J20="Serviço",$O20=""),"UNIDADE",IF($T20&lt;=0,"SEM VALOR",IF(AND($Y20&lt;&gt;"",$Q20&gt;$Y20),"ACIMA REF.","")))))</f>
        <v>SEM VALOR</v>
      </c>
      <c r="V20" s="1" t="str">
        <f ca="1">IF(OR($A20=0,$A20="S",$A20&gt;CFF!$A$9),"",MAX(V$12:OFFSET(V20,-1,0))+1)</f>
        <v/>
      </c>
      <c r="W20" s="4" t="str">
        <f>IF(AND($J20="Serviço",$M20&lt;&gt;""),IF($L20="",$M20,CONCATENATE($L20,"-",$M20)))</f>
        <v>SICRO-5501880</v>
      </c>
      <c r="X20" s="1" t="e">
        <f ca="1">IF(AND(Fonte&lt;&gt;"",Código&lt;&gt;""),MATCH(Fonte&amp;" "&amp;IF(Fonte="sinapi",SUBSTITUTE(SUBSTITUTE(Código,"/00","/"),"/0","/"),Código),INDIRECT("'[Referência "&amp;_xlnm.Database&amp;".xls]Banco'!$a:$a"),0),"X")</f>
        <v>#N/A</v>
      </c>
      <c r="Y20" s="103">
        <v>14.92</v>
      </c>
      <c r="Z20" s="113">
        <f ca="1">ROUND(IF(ISNUMBER(R20),R20,IF(LEFT(R20,3)="BDI",HLOOKUP(R20,DADOS!$T$37:$X$38,2,FALSE),0)),15-11*$X$5)</f>
        <v>0.24</v>
      </c>
      <c r="AA20" s="1"/>
    </row>
    <row r="21" spans="1:27" x14ac:dyDescent="0.25">
      <c r="A21" t="str">
        <f t="shared" si="0"/>
        <v>S</v>
      </c>
      <c r="B21">
        <f t="shared" si="1"/>
        <v>0</v>
      </c>
      <c r="C21">
        <f t="shared" ca="1" si="2"/>
        <v>2</v>
      </c>
      <c r="D21">
        <f t="shared" ca="1" si="3"/>
        <v>1</v>
      </c>
      <c r="E21">
        <f t="shared" ca="1" si="4"/>
        <v>0</v>
      </c>
      <c r="F21">
        <f t="shared" ca="1" si="5"/>
        <v>0</v>
      </c>
      <c r="G21">
        <f t="shared" ca="1" si="6"/>
        <v>3</v>
      </c>
      <c r="H21">
        <f t="shared" ca="1" si="7"/>
        <v>0</v>
      </c>
      <c r="I21">
        <f t="shared" ca="1" si="8"/>
        <v>0</v>
      </c>
      <c r="J21" s="354" t="s">
        <v>103</v>
      </c>
      <c r="K21" s="138" t="str">
        <f t="shared" ca="1" si="9"/>
        <v>2.1.0.3.</v>
      </c>
      <c r="L21" s="355" t="s">
        <v>237</v>
      </c>
      <c r="M21" s="355" t="s">
        <v>239</v>
      </c>
      <c r="N21" s="356" t="s">
        <v>240</v>
      </c>
      <c r="O21" s="357" t="s">
        <v>238</v>
      </c>
      <c r="P21" s="358">
        <f>P19*0.25*7</f>
        <v>131.25</v>
      </c>
      <c r="Q21" s="195"/>
      <c r="R21" s="198" t="s">
        <v>7</v>
      </c>
      <c r="S21" s="103">
        <f t="shared" si="10"/>
        <v>0</v>
      </c>
      <c r="T21" s="83">
        <f t="shared" si="11"/>
        <v>0</v>
      </c>
      <c r="U21" s="9" t="str">
        <f t="shared" si="12"/>
        <v>SEM VALOR</v>
      </c>
      <c r="V21" s="1" t="str">
        <f ca="1">IF(OR($A21=0,$A21="S",$A21&gt;CFF!$A$9),"",MAX(V$12:OFFSET(V21,-1,0))+1)</f>
        <v/>
      </c>
      <c r="W21" s="4" t="str">
        <f t="shared" si="13"/>
        <v>SICRO-4011211</v>
      </c>
      <c r="X21" s="1" t="e">
        <f t="shared" ca="1" si="14"/>
        <v>#N/A</v>
      </c>
      <c r="Y21" s="103">
        <v>14.47</v>
      </c>
      <c r="Z21" s="113">
        <f ca="1">ROUND(IF(ISNUMBER(R21),R21,IF(LEFT(R21,3)="BDI",HLOOKUP(R21,DADOS!$T$37:$X$38,2,FALSE),0)),15-11*$X$5)</f>
        <v>0.24</v>
      </c>
      <c r="AA21" s="1"/>
    </row>
    <row r="22" spans="1:27" x14ac:dyDescent="0.25">
      <c r="A22" t="str">
        <f t="shared" si="0"/>
        <v>S</v>
      </c>
      <c r="B22">
        <f t="shared" si="1"/>
        <v>0</v>
      </c>
      <c r="C22">
        <f t="shared" ca="1" si="2"/>
        <v>2</v>
      </c>
      <c r="D22">
        <f t="shared" ca="1" si="3"/>
        <v>1</v>
      </c>
      <c r="E22">
        <f t="shared" ca="1" si="4"/>
        <v>0</v>
      </c>
      <c r="F22">
        <f t="shared" ca="1" si="5"/>
        <v>0</v>
      </c>
      <c r="G22">
        <f t="shared" ca="1" si="6"/>
        <v>4</v>
      </c>
      <c r="H22">
        <f t="shared" ca="1" si="7"/>
        <v>0</v>
      </c>
      <c r="I22">
        <f t="shared" ca="1" si="8"/>
        <v>0</v>
      </c>
      <c r="J22" s="354" t="s">
        <v>103</v>
      </c>
      <c r="K22" s="138" t="str">
        <f t="shared" ca="1" si="9"/>
        <v>2.1.0.4.</v>
      </c>
      <c r="L22" s="355" t="s">
        <v>237</v>
      </c>
      <c r="M22" s="355" t="s">
        <v>244</v>
      </c>
      <c r="N22" s="356" t="s">
        <v>243</v>
      </c>
      <c r="O22" s="357" t="s">
        <v>238</v>
      </c>
      <c r="P22" s="358">
        <f>P19*0.25*7</f>
        <v>131.25</v>
      </c>
      <c r="Q22" s="195"/>
      <c r="R22" s="198" t="s">
        <v>7</v>
      </c>
      <c r="S22" s="103">
        <f t="shared" si="10"/>
        <v>0</v>
      </c>
      <c r="T22" s="83">
        <f t="shared" si="11"/>
        <v>0</v>
      </c>
      <c r="U22" s="9" t="str">
        <f t="shared" si="12"/>
        <v>SEM VALOR</v>
      </c>
      <c r="V22" s="1" t="str">
        <f ca="1">IF(OR($A22=0,$A22="S",$A22&gt;CFF!$A$9),"",MAX(V$12:OFFSET(V22,-1,0))+1)</f>
        <v/>
      </c>
      <c r="W22" s="4" t="str">
        <f t="shared" si="13"/>
        <v>SICRO-4011276</v>
      </c>
      <c r="X22" s="1" t="e">
        <f t="shared" ca="1" si="14"/>
        <v>#N/A</v>
      </c>
      <c r="Y22" s="103">
        <v>235.61</v>
      </c>
      <c r="Z22" s="113">
        <f ca="1">ROUND(IF(ISNUMBER(R22),R22,IF(LEFT(R22,3)="BDI",HLOOKUP(R22,DADOS!$T$37:$X$38,2,FALSE),0)),15-11*$X$5)</f>
        <v>0.24</v>
      </c>
      <c r="AA22" s="1"/>
    </row>
    <row r="23" spans="1:27" x14ac:dyDescent="0.25">
      <c r="A23" t="str">
        <f t="shared" si="0"/>
        <v>S</v>
      </c>
      <c r="B23">
        <f t="shared" si="1"/>
        <v>0</v>
      </c>
      <c r="C23">
        <f t="shared" ca="1" si="2"/>
        <v>2</v>
      </c>
      <c r="D23">
        <f t="shared" ca="1" si="3"/>
        <v>1</v>
      </c>
      <c r="E23">
        <f t="shared" ca="1" si="4"/>
        <v>0</v>
      </c>
      <c r="F23">
        <f t="shared" ca="1" si="5"/>
        <v>0</v>
      </c>
      <c r="G23">
        <f t="shared" ca="1" si="6"/>
        <v>5</v>
      </c>
      <c r="H23">
        <f t="shared" ca="1" si="7"/>
        <v>0</v>
      </c>
      <c r="I23">
        <f t="shared" ca="1" si="8"/>
        <v>0</v>
      </c>
      <c r="J23" s="354" t="s">
        <v>103</v>
      </c>
      <c r="K23" s="138" t="str">
        <f t="shared" ca="1" si="9"/>
        <v>2.1.0.5.</v>
      </c>
      <c r="L23" s="355" t="s">
        <v>237</v>
      </c>
      <c r="M23" s="355" t="s">
        <v>241</v>
      </c>
      <c r="N23" s="356" t="s">
        <v>272</v>
      </c>
      <c r="O23" s="357" t="s">
        <v>242</v>
      </c>
      <c r="P23" s="358">
        <f>((P21+P22)*1.8)*30</f>
        <v>14175</v>
      </c>
      <c r="Q23" s="195"/>
      <c r="R23" s="198" t="s">
        <v>7</v>
      </c>
      <c r="S23" s="103">
        <f t="shared" si="10"/>
        <v>0</v>
      </c>
      <c r="T23" s="83">
        <f t="shared" si="11"/>
        <v>0</v>
      </c>
      <c r="U23" s="9" t="str">
        <f t="shared" si="12"/>
        <v>SEM VALOR</v>
      </c>
      <c r="V23" s="1" t="str">
        <f ca="1">IF(OR($A23=0,$A23="S",$A23&gt;CFF!$A$9),"",MAX(V$12:OFFSET(V23,-1,0))+1)</f>
        <v/>
      </c>
      <c r="W23" s="4" t="str">
        <f t="shared" si="13"/>
        <v>SICRO-5914389</v>
      </c>
      <c r="X23" s="1" t="e">
        <f t="shared" ca="1" si="14"/>
        <v>#N/A</v>
      </c>
      <c r="Y23" s="103">
        <v>1</v>
      </c>
      <c r="Z23" s="113">
        <f ca="1">ROUND(IF(ISNUMBER(R23),R23,IF(LEFT(R23,3)="BDI",HLOOKUP(R23,DADOS!$T$37:$X$38,2,FALSE),0)),15-11*$X$5)</f>
        <v>0.24</v>
      </c>
      <c r="AA23" s="1"/>
    </row>
    <row r="24" spans="1:27" x14ac:dyDescent="0.25">
      <c r="A24">
        <f t="shared" si="0"/>
        <v>2</v>
      </c>
      <c r="B24">
        <f t="shared" ca="1" si="1"/>
        <v>11</v>
      </c>
      <c r="C24">
        <f t="shared" ca="1" si="2"/>
        <v>2</v>
      </c>
      <c r="D24">
        <f t="shared" ca="1" si="3"/>
        <v>2</v>
      </c>
      <c r="E24">
        <f t="shared" ca="1" si="4"/>
        <v>0</v>
      </c>
      <c r="F24">
        <f t="shared" ca="1" si="5"/>
        <v>0</v>
      </c>
      <c r="G24">
        <f t="shared" ca="1" si="6"/>
        <v>0</v>
      </c>
      <c r="H24">
        <f t="shared" ca="1" si="7"/>
        <v>14</v>
      </c>
      <c r="I24">
        <f t="shared" ca="1" si="8"/>
        <v>11</v>
      </c>
      <c r="J24" s="354" t="s">
        <v>100</v>
      </c>
      <c r="K24" s="138" t="str">
        <f t="shared" ca="1" si="9"/>
        <v>2.2.</v>
      </c>
      <c r="L24" s="355"/>
      <c r="M24" s="355"/>
      <c r="N24" s="356" t="s">
        <v>259</v>
      </c>
      <c r="O24" s="357" t="s">
        <v>106</v>
      </c>
      <c r="P24" s="358"/>
      <c r="Q24" s="195"/>
      <c r="R24" s="198" t="s">
        <v>7</v>
      </c>
      <c r="S24" s="103">
        <f t="shared" si="10"/>
        <v>0</v>
      </c>
      <c r="T24" s="83">
        <f t="shared" ca="1" si="11"/>
        <v>0</v>
      </c>
      <c r="U24" s="9" t="str">
        <f t="shared" ca="1" si="12"/>
        <v>SEM VALOR</v>
      </c>
      <c r="V24" s="1">
        <f ca="1">IF(OR($A24=0,$A24="S",$A24&gt;CFF!$A$9),"",MAX(V$12:OFFSET(V24,-1,0))+1)</f>
        <v>4</v>
      </c>
      <c r="W24" s="4" t="b">
        <f t="shared" si="13"/>
        <v>0</v>
      </c>
      <c r="X24" s="1" t="str">
        <f t="shared" ca="1" si="14"/>
        <v>X</v>
      </c>
      <c r="Y24" s="103">
        <v>0</v>
      </c>
      <c r="Z24" s="113">
        <f ca="1">ROUND(IF(ISNUMBER(R24),R24,IF(LEFT(R24,3)="BDI",HLOOKUP(R24,DADOS!$T$37:$X$38,2,FALSE),0)),15-11*$X$5)</f>
        <v>0.24</v>
      </c>
      <c r="AA24" s="1"/>
    </row>
    <row r="25" spans="1:27" x14ac:dyDescent="0.25">
      <c r="A25" t="str">
        <f t="shared" si="0"/>
        <v>S</v>
      </c>
      <c r="B25">
        <f t="shared" si="1"/>
        <v>0</v>
      </c>
      <c r="C25">
        <f t="shared" ca="1" si="2"/>
        <v>2</v>
      </c>
      <c r="D25">
        <f t="shared" ca="1" si="3"/>
        <v>2</v>
      </c>
      <c r="E25">
        <f t="shared" ca="1" si="4"/>
        <v>0</v>
      </c>
      <c r="F25">
        <f t="shared" ca="1" si="5"/>
        <v>0</v>
      </c>
      <c r="G25">
        <f t="shared" ca="1" si="6"/>
        <v>1</v>
      </c>
      <c r="H25">
        <f t="shared" ca="1" si="7"/>
        <v>0</v>
      </c>
      <c r="I25">
        <f t="shared" ca="1" si="8"/>
        <v>0</v>
      </c>
      <c r="J25" s="354" t="s">
        <v>103</v>
      </c>
      <c r="K25" s="138" t="str">
        <f t="shared" ca="1" si="9"/>
        <v>2.2.0.1.</v>
      </c>
      <c r="L25" s="355" t="s">
        <v>237</v>
      </c>
      <c r="M25" s="355" t="s">
        <v>245</v>
      </c>
      <c r="N25" s="356" t="s">
        <v>246</v>
      </c>
      <c r="O25" s="357" t="s">
        <v>248</v>
      </c>
      <c r="P25" s="358">
        <f>P19*7</f>
        <v>525</v>
      </c>
      <c r="Q25" s="195"/>
      <c r="R25" s="198" t="s">
        <v>7</v>
      </c>
      <c r="S25" s="103">
        <f t="shared" si="10"/>
        <v>0</v>
      </c>
      <c r="T25" s="83">
        <f t="shared" si="11"/>
        <v>0</v>
      </c>
      <c r="U25" s="9" t="str">
        <f t="shared" si="12"/>
        <v>SEM VALOR</v>
      </c>
      <c r="V25" s="1" t="str">
        <f ca="1">IF(OR($A25=0,$A25="S",$A25&gt;CFF!$A$9),"",MAX(V$12:OFFSET(V25,-1,0))+1)</f>
        <v/>
      </c>
      <c r="W25" s="4" t="str">
        <f t="shared" si="13"/>
        <v>SICRO-4011352</v>
      </c>
      <c r="X25" s="1" t="e">
        <f t="shared" ca="1" si="14"/>
        <v>#N/A</v>
      </c>
      <c r="Y25" s="103">
        <v>0.51</v>
      </c>
      <c r="Z25" s="113">
        <f ca="1">ROUND(IF(ISNUMBER(R25),R25,IF(LEFT(R25,3)="BDI",HLOOKUP(R25,DADOS!$T$37:$X$38,2,FALSE),0)),15-11*$X$5)</f>
        <v>0.24</v>
      </c>
      <c r="AA25" s="1"/>
    </row>
    <row r="26" spans="1:27" x14ac:dyDescent="0.25">
      <c r="A26" t="str">
        <f>CHOOSE(1+LOG(1+2*(J26="Meta")+4*(J26="Nível 2")+8*(J26="Nível 3")+16*(J26="Nível 4")+32*(J26="Serviço"),2),0,1,2,3,4,"S")</f>
        <v>S</v>
      </c>
      <c r="B26">
        <f>IF(OR(A26="S",A26=0),0,IF(ISERROR(I26),H26,SMALL(H26:I26,1)))</f>
        <v>0</v>
      </c>
      <c r="C26">
        <f ca="1">IF($A26=1,OFFSET(C26,-1,0)+1,OFFSET(C26,-1,0))</f>
        <v>2</v>
      </c>
      <c r="D26">
        <f ca="1">IF($A26=1,0,IF($A26=2,OFFSET(D26,-1,0)+1,OFFSET(D26,-1,0)))</f>
        <v>2</v>
      </c>
      <c r="E26">
        <f ca="1">IF(AND($A26&lt;=2,$A26&lt;&gt;0),0,IF($A26=3,OFFSET(E26,-1,0)+1,OFFSET(E26,-1,0)))</f>
        <v>0</v>
      </c>
      <c r="F26">
        <f ca="1">IF(AND($A26&lt;=3,$A26&lt;&gt;0),0,IF($A26=4,OFFSET(F26,-1,0)+1,OFFSET(F26,-1,0)))</f>
        <v>0</v>
      </c>
      <c r="G26">
        <f ca="1">IF(AND($A26&lt;=4,$A26&lt;&gt;0),0,IF($A26="S",OFFSET(G26,-1,0)+1,OFFSET(G26,-1,0)))</f>
        <v>2</v>
      </c>
      <c r="H26">
        <f t="shared" ca="1" si="7"/>
        <v>0</v>
      </c>
      <c r="I26">
        <f t="shared" ca="1" si="8"/>
        <v>0</v>
      </c>
      <c r="J26" s="354" t="s">
        <v>103</v>
      </c>
      <c r="K26" s="138" t="str">
        <f ca="1">IF($A26=0,"-",CONCATENATE(C26&amp;".",IF(AND($A$5&gt;=2,$A26&gt;=2),D26&amp;".",""),IF(AND($A$5&gt;=3,$A26&gt;=3),E26&amp;".",""),IF(AND($A$5&gt;=4,$A26&gt;=4),F26&amp;".",""),IF($A26="S",G26&amp;".","")))</f>
        <v>2.2.0.2.</v>
      </c>
      <c r="L26" s="355" t="s">
        <v>237</v>
      </c>
      <c r="M26" s="355" t="s">
        <v>260</v>
      </c>
      <c r="N26" s="356" t="s">
        <v>277</v>
      </c>
      <c r="O26" s="357" t="s">
        <v>248</v>
      </c>
      <c r="P26" s="358">
        <f>P25</f>
        <v>525</v>
      </c>
      <c r="Q26" s="195"/>
      <c r="R26" s="198" t="s">
        <v>7</v>
      </c>
      <c r="S26" s="103">
        <f>IF($A26="S",IF($Q$10="Preço Unitário (R$)",PO.CustoUnitario,ROUND(PO.CustoUnitario*(1+$Z26),15-13*$X$6)),0)</f>
        <v>0</v>
      </c>
      <c r="T26" s="83">
        <f>IF($A26="S",VTOTAL1,IF($A26=0,0,ROUND(SomaAgrup,15-13*$X$7)))</f>
        <v>0</v>
      </c>
      <c r="U26" s="9" t="str">
        <f>IF($J26="","",IF($N26="","DESCRIÇÃO",IF(AND($J26="Serviço",$O26=""),"UNIDADE",IF($T26&lt;=0,"SEM VALOR",IF(AND($Y26&lt;&gt;"",$Q26&gt;$Y26),"ACIMA REF.","")))))</f>
        <v>SEM VALOR</v>
      </c>
      <c r="V26" s="1" t="str">
        <f ca="1">IF(OR($A26=0,$A26="S",$A26&gt;CFF!$A$9),"",MAX(V$12:OFFSET(V26,-1,0))+1)</f>
        <v/>
      </c>
      <c r="W26" s="4" t="str">
        <f>IF(AND($J26="Serviço",$M26&lt;&gt;""),IF($L26="",$M26,CONCATENATE($L26,"-",$M26)))</f>
        <v>SICRO-4011353</v>
      </c>
      <c r="X26" s="1" t="e">
        <f ca="1">IF(AND(Fonte&lt;&gt;"",Código&lt;&gt;""),MATCH(Fonte&amp;" "&amp;IF(Fonte="sinapi",SUBSTITUTE(SUBSTITUTE(Código,"/00","/"),"/0","/"),Código),INDIRECT("'[Referência "&amp;_xlnm.Database&amp;".xls]Banco'!$a:$a"),0),"X")</f>
        <v>#N/A</v>
      </c>
      <c r="Y26" s="103">
        <v>0.35</v>
      </c>
      <c r="Z26" s="113">
        <f ca="1">ROUND(IF(ISNUMBER(R26),R26,IF(LEFT(R26,3)="BDI",HLOOKUP(R26,DADOS!$T$37:$X$38,2,FALSE),0)),15-11*$X$5)</f>
        <v>0.24</v>
      </c>
      <c r="AA26" s="1"/>
    </row>
    <row r="27" spans="1:27" x14ac:dyDescent="0.25">
      <c r="A27" t="str">
        <f t="shared" si="0"/>
        <v>S</v>
      </c>
      <c r="B27">
        <f t="shared" si="1"/>
        <v>0</v>
      </c>
      <c r="C27">
        <f t="shared" ca="1" si="2"/>
        <v>2</v>
      </c>
      <c r="D27">
        <f t="shared" ca="1" si="3"/>
        <v>2</v>
      </c>
      <c r="E27">
        <f t="shared" ca="1" si="4"/>
        <v>0</v>
      </c>
      <c r="F27">
        <f t="shared" ca="1" si="5"/>
        <v>0</v>
      </c>
      <c r="G27">
        <f t="shared" ca="1" si="6"/>
        <v>3</v>
      </c>
      <c r="H27">
        <f t="shared" ca="1" si="7"/>
        <v>0</v>
      </c>
      <c r="I27">
        <f t="shared" ca="1" si="8"/>
        <v>0</v>
      </c>
      <c r="J27" s="354" t="s">
        <v>103</v>
      </c>
      <c r="K27" s="138" t="str">
        <f t="shared" ca="1" si="9"/>
        <v>2.2.0.3.</v>
      </c>
      <c r="L27" s="355" t="s">
        <v>237</v>
      </c>
      <c r="M27" s="355" t="s">
        <v>261</v>
      </c>
      <c r="N27" s="356" t="s">
        <v>286</v>
      </c>
      <c r="O27" s="357" t="s">
        <v>249</v>
      </c>
      <c r="P27" s="358">
        <f>P19*7*0.125</f>
        <v>65.625</v>
      </c>
      <c r="Q27" s="195"/>
      <c r="R27" s="198" t="s">
        <v>7</v>
      </c>
      <c r="S27" s="103">
        <f t="shared" si="10"/>
        <v>0</v>
      </c>
      <c r="T27" s="83">
        <f t="shared" si="11"/>
        <v>0</v>
      </c>
      <c r="U27" s="9" t="str">
        <f t="shared" si="12"/>
        <v>SEM VALOR</v>
      </c>
      <c r="V27" s="1" t="str">
        <f ca="1">IF(OR($A27=0,$A27="S",$A27&gt;CFF!$A$9),"",MAX(V$12:OFFSET(V27,-1,0))+1)</f>
        <v/>
      </c>
      <c r="W27" s="4" t="str">
        <f t="shared" si="13"/>
        <v>SICRO-4011463</v>
      </c>
      <c r="X27" s="1" t="e">
        <f t="shared" ca="1" si="14"/>
        <v>#N/A</v>
      </c>
      <c r="Y27" s="103">
        <v>228.05</v>
      </c>
      <c r="Z27" s="113">
        <f ca="1">ROUND(IF(ISNUMBER(R27),R27,IF(LEFT(R27,3)="BDI",HLOOKUP(R27,DADOS!$T$37:$X$38,2,FALSE),0)),15-11*$X$5)</f>
        <v>0.24</v>
      </c>
      <c r="AA27" s="1"/>
    </row>
    <row r="28" spans="1:27" x14ac:dyDescent="0.25">
      <c r="A28" t="str">
        <f t="shared" si="0"/>
        <v>S</v>
      </c>
      <c r="B28">
        <f t="shared" si="1"/>
        <v>0</v>
      </c>
      <c r="C28">
        <f t="shared" ca="1" si="2"/>
        <v>2</v>
      </c>
      <c r="D28">
        <f t="shared" ca="1" si="3"/>
        <v>2</v>
      </c>
      <c r="E28">
        <f t="shared" ca="1" si="4"/>
        <v>0</v>
      </c>
      <c r="F28">
        <f t="shared" ca="1" si="5"/>
        <v>0</v>
      </c>
      <c r="G28">
        <f t="shared" ca="1" si="6"/>
        <v>4</v>
      </c>
      <c r="H28">
        <f t="shared" ca="1" si="7"/>
        <v>0</v>
      </c>
      <c r="I28">
        <f t="shared" ca="1" si="8"/>
        <v>0</v>
      </c>
      <c r="J28" s="354" t="s">
        <v>103</v>
      </c>
      <c r="K28" s="138" t="str">
        <f t="shared" ca="1" si="9"/>
        <v>2.2.0.4.</v>
      </c>
      <c r="L28" s="355" t="s">
        <v>262</v>
      </c>
      <c r="M28" s="355" t="s">
        <v>263</v>
      </c>
      <c r="N28" s="356" t="s">
        <v>264</v>
      </c>
      <c r="O28" s="357" t="s">
        <v>249</v>
      </c>
      <c r="P28" s="358">
        <f>P25*0.0013</f>
        <v>0.6825</v>
      </c>
      <c r="Q28" s="195"/>
      <c r="R28" s="198" t="s">
        <v>7</v>
      </c>
      <c r="S28" s="103">
        <f t="shared" si="10"/>
        <v>0</v>
      </c>
      <c r="T28" s="83">
        <f t="shared" si="11"/>
        <v>0</v>
      </c>
      <c r="U28" s="9" t="str">
        <f t="shared" si="12"/>
        <v>SEM VALOR</v>
      </c>
      <c r="V28" s="1" t="str">
        <f ca="1">IF(OR($A28=0,$A28="S",$A28&gt;CFF!$A$9),"",MAX(V$12:OFFSET(V28,-1,0))+1)</f>
        <v/>
      </c>
      <c r="W28" s="4" t="str">
        <f t="shared" si="13"/>
        <v>ANP-INSUMO</v>
      </c>
      <c r="X28" s="1" t="e">
        <f t="shared" ca="1" si="14"/>
        <v>#N/A</v>
      </c>
      <c r="Y28" s="103">
        <v>3404.41</v>
      </c>
      <c r="Z28" s="113">
        <f ca="1">ROUND(IF(ISNUMBER(R28),R28,IF(LEFT(R28,3)="BDI",HLOOKUP(R28,DADOS!$T$37:$X$38,2,FALSE),0)),15-11*$X$5)</f>
        <v>0.24</v>
      </c>
      <c r="AA28" s="1"/>
    </row>
    <row r="29" spans="1:27" x14ac:dyDescent="0.25">
      <c r="A29" t="str">
        <f t="shared" si="0"/>
        <v>S</v>
      </c>
      <c r="B29">
        <f t="shared" si="1"/>
        <v>0</v>
      </c>
      <c r="C29">
        <f t="shared" ca="1" si="2"/>
        <v>2</v>
      </c>
      <c r="D29">
        <f t="shared" ca="1" si="3"/>
        <v>2</v>
      </c>
      <c r="E29">
        <f t="shared" ca="1" si="4"/>
        <v>0</v>
      </c>
      <c r="F29">
        <f t="shared" ca="1" si="5"/>
        <v>0</v>
      </c>
      <c r="G29">
        <f t="shared" ca="1" si="6"/>
        <v>5</v>
      </c>
      <c r="H29">
        <f t="shared" ca="1" si="7"/>
        <v>0</v>
      </c>
      <c r="I29">
        <f t="shared" ca="1" si="8"/>
        <v>0</v>
      </c>
      <c r="J29" s="354" t="s">
        <v>103</v>
      </c>
      <c r="K29" s="138" t="str">
        <f t="shared" ca="1" si="9"/>
        <v>2.2.0.5.</v>
      </c>
      <c r="L29" s="355" t="s">
        <v>262</v>
      </c>
      <c r="M29" s="355" t="s">
        <v>263</v>
      </c>
      <c r="N29" s="356" t="s">
        <v>265</v>
      </c>
      <c r="O29" s="357" t="s">
        <v>249</v>
      </c>
      <c r="P29" s="358">
        <f>P25*0.0009</f>
        <v>0.47249999999999998</v>
      </c>
      <c r="Q29" s="195"/>
      <c r="R29" s="198" t="s">
        <v>7</v>
      </c>
      <c r="S29" s="103">
        <f t="shared" si="10"/>
        <v>0</v>
      </c>
      <c r="T29" s="83">
        <f t="shared" si="11"/>
        <v>0</v>
      </c>
      <c r="U29" s="9" t="str">
        <f t="shared" si="12"/>
        <v>SEM VALOR</v>
      </c>
      <c r="V29" s="1" t="str">
        <f ca="1">IF(OR($A29=0,$A29="S",$A29&gt;CFF!$A$9),"",MAX(V$12:OFFSET(V29,-1,0))+1)</f>
        <v/>
      </c>
      <c r="W29" s="4" t="str">
        <f t="shared" si="13"/>
        <v>ANP-INSUMO</v>
      </c>
      <c r="X29" s="1" t="e">
        <f t="shared" ca="1" si="14"/>
        <v>#N/A</v>
      </c>
      <c r="Y29" s="103">
        <v>3202.6</v>
      </c>
      <c r="Z29" s="113">
        <f ca="1">ROUND(IF(ISNUMBER(R29),R29,IF(LEFT(R29,3)="BDI",HLOOKUP(R29,DADOS!$T$37:$X$38,2,FALSE),0)),15-11*$X$5)</f>
        <v>0.24</v>
      </c>
      <c r="AA29" s="1"/>
    </row>
    <row r="30" spans="1:27" x14ac:dyDescent="0.25">
      <c r="A30" t="str">
        <f t="shared" si="0"/>
        <v>S</v>
      </c>
      <c r="B30">
        <f t="shared" si="1"/>
        <v>0</v>
      </c>
      <c r="C30">
        <f t="shared" ca="1" si="2"/>
        <v>2</v>
      </c>
      <c r="D30">
        <f t="shared" ca="1" si="3"/>
        <v>2</v>
      </c>
      <c r="E30">
        <f t="shared" ca="1" si="4"/>
        <v>0</v>
      </c>
      <c r="F30">
        <f t="shared" ca="1" si="5"/>
        <v>0</v>
      </c>
      <c r="G30">
        <f t="shared" ca="1" si="6"/>
        <v>6</v>
      </c>
      <c r="H30">
        <f t="shared" ca="1" si="7"/>
        <v>0</v>
      </c>
      <c r="I30">
        <f t="shared" ca="1" si="8"/>
        <v>0</v>
      </c>
      <c r="J30" s="354" t="s">
        <v>103</v>
      </c>
      <c r="K30" s="138" t="str">
        <f t="shared" ca="1" si="9"/>
        <v>2.2.0.6.</v>
      </c>
      <c r="L30" s="355" t="s">
        <v>262</v>
      </c>
      <c r="M30" s="355" t="s">
        <v>263</v>
      </c>
      <c r="N30" s="356" t="s">
        <v>266</v>
      </c>
      <c r="O30" s="357" t="s">
        <v>249</v>
      </c>
      <c r="P30" s="358">
        <f>P25*0.0109</f>
        <v>5.7225000000000001</v>
      </c>
      <c r="Q30" s="195"/>
      <c r="R30" s="198" t="s">
        <v>7</v>
      </c>
      <c r="S30" s="103">
        <f t="shared" si="10"/>
        <v>0</v>
      </c>
      <c r="T30" s="83">
        <f t="shared" si="11"/>
        <v>0</v>
      </c>
      <c r="U30" s="9" t="str">
        <f t="shared" si="12"/>
        <v>SEM VALOR</v>
      </c>
      <c r="V30" s="1" t="str">
        <f ca="1">IF(OR($A30=0,$A30="S",$A30&gt;CFF!$A$9),"",MAX(V$12:OFFSET(V30,-1,0))+1)</f>
        <v/>
      </c>
      <c r="W30" s="4" t="str">
        <f t="shared" si="13"/>
        <v>ANP-INSUMO</v>
      </c>
      <c r="X30" s="1" t="e">
        <f t="shared" ca="1" si="14"/>
        <v>#N/A</v>
      </c>
      <c r="Y30" s="103">
        <v>4697.6400000000003</v>
      </c>
      <c r="Z30" s="113">
        <f ca="1">ROUND(IF(ISNUMBER(R30),R30,IF(LEFT(R30,3)="BDI",HLOOKUP(R30,DADOS!$T$37:$X$38,2,FALSE),0)),15-11*$X$5)</f>
        <v>0.24</v>
      </c>
      <c r="AA30" s="1"/>
    </row>
    <row r="31" spans="1:27" x14ac:dyDescent="0.25">
      <c r="A31">
        <f t="shared" si="0"/>
        <v>3</v>
      </c>
      <c r="B31">
        <f t="shared" ca="1" si="1"/>
        <v>4</v>
      </c>
      <c r="C31">
        <f t="shared" ca="1" si="2"/>
        <v>2</v>
      </c>
      <c r="D31">
        <f t="shared" ca="1" si="3"/>
        <v>2</v>
      </c>
      <c r="E31">
        <f t="shared" ca="1" si="4"/>
        <v>1</v>
      </c>
      <c r="F31">
        <f t="shared" ca="1" si="5"/>
        <v>0</v>
      </c>
      <c r="G31">
        <f t="shared" ca="1" si="6"/>
        <v>0</v>
      </c>
      <c r="H31">
        <f t="shared" ca="1" si="7"/>
        <v>4</v>
      </c>
      <c r="I31" t="e">
        <f t="shared" ca="1" si="8"/>
        <v>#N/A</v>
      </c>
      <c r="J31" s="354" t="s">
        <v>101</v>
      </c>
      <c r="K31" s="138" t="str">
        <f t="shared" ca="1" si="9"/>
        <v>2.2.1.</v>
      </c>
      <c r="L31" s="355"/>
      <c r="M31" s="355"/>
      <c r="N31" s="356" t="s">
        <v>267</v>
      </c>
      <c r="O31" s="357" t="s">
        <v>106</v>
      </c>
      <c r="P31" s="358"/>
      <c r="Q31" s="195"/>
      <c r="R31" s="198" t="s">
        <v>7</v>
      </c>
      <c r="S31" s="103">
        <f t="shared" si="10"/>
        <v>0</v>
      </c>
      <c r="T31" s="83">
        <f t="shared" ca="1" si="11"/>
        <v>0</v>
      </c>
      <c r="U31" s="9" t="str">
        <f t="shared" ca="1" si="12"/>
        <v>SEM VALOR</v>
      </c>
      <c r="V31" s="1" t="str">
        <f ca="1">IF(OR($A31=0,$A31="S",$A31&gt;CFF!$A$9),"",MAX(V$12:OFFSET(V31,-1,0))+1)</f>
        <v/>
      </c>
      <c r="W31" s="4" t="b">
        <f t="shared" si="13"/>
        <v>0</v>
      </c>
      <c r="X31" s="1" t="str">
        <f t="shared" ca="1" si="14"/>
        <v>X</v>
      </c>
      <c r="Y31" s="103">
        <v>0</v>
      </c>
      <c r="Z31" s="113">
        <f ca="1">ROUND(IF(ISNUMBER(R31),R31,IF(LEFT(R31,3)="BDI",HLOOKUP(R31,DADOS!$T$37:$X$38,2,FALSE),0)),15-11*$X$5)</f>
        <v>0.24</v>
      </c>
      <c r="AA31" s="1"/>
    </row>
    <row r="32" spans="1:27" ht="26.4" x14ac:dyDescent="0.25">
      <c r="A32" t="str">
        <f>CHOOSE(1+LOG(1+2*(J32="Meta")+4*(J32="Nível 2")+8*(J32="Nível 3")+16*(J32="Nível 4")+32*(J32="Serviço"),2),0,1,2,3,4,"S")</f>
        <v>S</v>
      </c>
      <c r="B32">
        <f>IF(OR(A32="S",A32=0),0,IF(ISERROR(I32),H32,SMALL(H32:I32,1)))</f>
        <v>0</v>
      </c>
      <c r="C32">
        <f ca="1">IF($A32=1,OFFSET(C32,-1,0)+1,OFFSET(C32,-1,0))</f>
        <v>2</v>
      </c>
      <c r="D32">
        <f ca="1">IF($A32=1,0,IF($A32=2,OFFSET(D32,-1,0)+1,OFFSET(D32,-1,0)))</f>
        <v>2</v>
      </c>
      <c r="E32">
        <f ca="1">IF(AND($A32&lt;=2,$A32&lt;&gt;0),0,IF($A32=3,OFFSET(E32,-1,0)+1,OFFSET(E32,-1,0)))</f>
        <v>1</v>
      </c>
      <c r="F32">
        <f ca="1">IF(AND($A32&lt;=3,$A32&lt;&gt;0),0,IF($A32=4,OFFSET(F32,-1,0)+1,OFFSET(F32,-1,0)))</f>
        <v>0</v>
      </c>
      <c r="G32">
        <f ca="1">IF(AND($A32&lt;=4,$A32&lt;&gt;0),0,IF($A32="S",OFFSET(G32,-1,0)+1,OFFSET(G32,-1,0)))</f>
        <v>1</v>
      </c>
      <c r="H32">
        <f t="shared" ca="1" si="7"/>
        <v>0</v>
      </c>
      <c r="I32">
        <f t="shared" ca="1" si="8"/>
        <v>0</v>
      </c>
      <c r="J32" s="354" t="s">
        <v>103</v>
      </c>
      <c r="K32" s="138" t="str">
        <f ca="1">IF($A32=0,"-",CONCATENATE(C32&amp;".",IF(AND($A$5&gt;=2,$A32&gt;=2),D32&amp;".",""),IF(AND($A$5&gt;=3,$A32&gt;=3),E32&amp;".",""),IF(AND($A$5&gt;=4,$A32&gt;=4),F32&amp;".",""),IF($A32="S",G32&amp;".","")))</f>
        <v>2.2.1.1.</v>
      </c>
      <c r="L32" s="355" t="s">
        <v>237</v>
      </c>
      <c r="M32" s="355" t="s">
        <v>268</v>
      </c>
      <c r="N32" s="356" t="s">
        <v>269</v>
      </c>
      <c r="O32" s="357" t="s">
        <v>249</v>
      </c>
      <c r="P32" s="358">
        <f>P27</f>
        <v>65.625</v>
      </c>
      <c r="Q32" s="195"/>
      <c r="R32" s="198" t="s">
        <v>7</v>
      </c>
      <c r="S32" s="103">
        <f>IF($A32="S",IF($Q$10="Preço Unitário (R$)",PO.CustoUnitario,ROUND(PO.CustoUnitario*(1+$Z32),15-13*$X$6)),0)</f>
        <v>0</v>
      </c>
      <c r="T32" s="83">
        <f>IF($A32="S",VTOTAL1,IF($A32=0,0,ROUND(SomaAgrup,15-13*$X$7)))</f>
        <v>0</v>
      </c>
      <c r="U32" s="9" t="str">
        <f>IF($J32="","",IF($N32="","DESCRIÇÃO",IF(AND($J32="Serviço",$O32=""),"UNIDADE",IF($T32&lt;=0,"SEM VALOR",IF(AND($Y32&lt;&gt;"",$Q32&gt;$Y32),"ACIMA REF.","")))))</f>
        <v>SEM VALOR</v>
      </c>
      <c r="V32" s="1" t="str">
        <f ca="1">IF(OR($A32=0,$A32="S",$A32&gt;CFF!$A$9),"",MAX(V$12:OFFSET(V32,-1,0))+1)</f>
        <v/>
      </c>
      <c r="W32" s="4" t="str">
        <f>IF(AND($J32="Serviço",$M32&lt;&gt;""),IF($L32="",$M32,CONCATENATE($L32,"-",$M32)))</f>
        <v>SICRO-5914643</v>
      </c>
      <c r="X32" s="1" t="e">
        <f t="shared" ca="1" si="14"/>
        <v>#N/A</v>
      </c>
      <c r="Y32" s="103">
        <v>6.44</v>
      </c>
      <c r="Z32" s="113">
        <f ca="1">ROUND(IF(ISNUMBER(R32),R32,IF(LEFT(R32,3)="BDI",HLOOKUP(R32,DADOS!$T$37:$X$38,2,FALSE),0)),15-11*$X$5)</f>
        <v>0.24</v>
      </c>
      <c r="AA32" s="1"/>
    </row>
    <row r="33" spans="1:27" x14ac:dyDescent="0.25">
      <c r="A33" t="str">
        <f t="shared" si="0"/>
        <v>S</v>
      </c>
      <c r="B33">
        <f t="shared" si="1"/>
        <v>0</v>
      </c>
      <c r="C33">
        <f t="shared" ca="1" si="2"/>
        <v>2</v>
      </c>
      <c r="D33">
        <f t="shared" ca="1" si="3"/>
        <v>2</v>
      </c>
      <c r="E33">
        <f t="shared" ca="1" si="4"/>
        <v>1</v>
      </c>
      <c r="F33">
        <f t="shared" ca="1" si="5"/>
        <v>0</v>
      </c>
      <c r="G33">
        <f t="shared" ca="1" si="6"/>
        <v>2</v>
      </c>
      <c r="H33">
        <f t="shared" ca="1" si="7"/>
        <v>0</v>
      </c>
      <c r="I33">
        <f t="shared" ca="1" si="8"/>
        <v>0</v>
      </c>
      <c r="J33" s="354" t="s">
        <v>103</v>
      </c>
      <c r="K33" s="138" t="str">
        <f t="shared" ca="1" si="9"/>
        <v>2.2.1.2.</v>
      </c>
      <c r="L33" s="355" t="s">
        <v>237</v>
      </c>
      <c r="M33" s="355" t="s">
        <v>247</v>
      </c>
      <c r="N33" s="356" t="s">
        <v>283</v>
      </c>
      <c r="O33" s="357" t="s">
        <v>249</v>
      </c>
      <c r="P33" s="358">
        <f>P27*30</f>
        <v>1968.75</v>
      </c>
      <c r="Q33" s="195"/>
      <c r="R33" s="198" t="s">
        <v>7</v>
      </c>
      <c r="S33" s="103">
        <f t="shared" si="10"/>
        <v>0</v>
      </c>
      <c r="T33" s="83">
        <f t="shared" si="11"/>
        <v>0</v>
      </c>
      <c r="U33" s="9" t="str">
        <f t="shared" si="12"/>
        <v>SEM VALOR</v>
      </c>
      <c r="V33" s="1" t="str">
        <f ca="1">IF(OR($A33=0,$A33="S",$A33&gt;CFF!$A$9),"",MAX(V$12:OFFSET(V33,-1,0))+1)</f>
        <v/>
      </c>
      <c r="W33" s="4" t="str">
        <f t="shared" si="13"/>
        <v>SICRO-5914612</v>
      </c>
      <c r="X33" s="1" t="e">
        <f t="shared" ca="1" si="14"/>
        <v>#N/A</v>
      </c>
      <c r="Y33" s="103">
        <v>1.46</v>
      </c>
      <c r="Z33" s="113">
        <f ca="1">ROUND(IF(ISNUMBER(R33),R33,IF(LEFT(R33,3)="BDI",HLOOKUP(R33,DADOS!$T$37:$X$38,2,FALSE),0)),15-11*$X$5)</f>
        <v>0.24</v>
      </c>
      <c r="AA33" s="1"/>
    </row>
    <row r="34" spans="1:27" ht="26.4" x14ac:dyDescent="0.25">
      <c r="A34" t="str">
        <f t="shared" si="0"/>
        <v>S</v>
      </c>
      <c r="B34">
        <f t="shared" si="1"/>
        <v>0</v>
      </c>
      <c r="C34">
        <f t="shared" ca="1" si="2"/>
        <v>2</v>
      </c>
      <c r="D34">
        <f t="shared" ca="1" si="3"/>
        <v>2</v>
      </c>
      <c r="E34">
        <f t="shared" ca="1" si="4"/>
        <v>1</v>
      </c>
      <c r="F34">
        <f t="shared" ca="1" si="5"/>
        <v>0</v>
      </c>
      <c r="G34">
        <f t="shared" ca="1" si="6"/>
        <v>3</v>
      </c>
      <c r="H34">
        <f t="shared" ca="1" si="7"/>
        <v>0</v>
      </c>
      <c r="I34">
        <f t="shared" ca="1" si="8"/>
        <v>0</v>
      </c>
      <c r="J34" s="354" t="s">
        <v>103</v>
      </c>
      <c r="K34" s="138" t="str">
        <f t="shared" ca="1" si="9"/>
        <v>2.2.1.3.</v>
      </c>
      <c r="L34" s="355" t="s">
        <v>253</v>
      </c>
      <c r="M34" s="355" t="s">
        <v>271</v>
      </c>
      <c r="N34" s="356" t="s">
        <v>291</v>
      </c>
      <c r="O34" s="357" t="s">
        <v>297</v>
      </c>
      <c r="P34" s="358">
        <f>(P25+P26)*0.0036*30</f>
        <v>113.39999999999999</v>
      </c>
      <c r="Q34" s="195"/>
      <c r="R34" s="198" t="s">
        <v>7</v>
      </c>
      <c r="S34" s="103">
        <f t="shared" si="10"/>
        <v>0</v>
      </c>
      <c r="T34" s="83">
        <f t="shared" si="11"/>
        <v>0</v>
      </c>
      <c r="U34" s="9" t="str">
        <f t="shared" si="12"/>
        <v>SEM VALOR</v>
      </c>
      <c r="V34" s="1" t="str">
        <f ca="1">IF(OR($A34=0,$A34="S",$A34&gt;CFF!$A$9),"",MAX(V$12:OFFSET(V34,-1,0))+1)</f>
        <v/>
      </c>
      <c r="W34" s="4" t="str">
        <f t="shared" si="13"/>
        <v>SINAPI-102330</v>
      </c>
      <c r="X34" s="1">
        <f t="shared" ca="1" si="14"/>
        <v>7339</v>
      </c>
      <c r="Y34" s="103">
        <v>1.84</v>
      </c>
      <c r="Z34" s="113">
        <f ca="1">ROUND(IF(ISNUMBER(R34),R34,IF(LEFT(R34,3)="BDI",HLOOKUP(R34,DADOS!$T$37:$X$38,2,FALSE),0)),15-11*$X$5)</f>
        <v>0.24</v>
      </c>
      <c r="AA34" s="1"/>
    </row>
    <row r="35" spans="1:27" x14ac:dyDescent="0.25">
      <c r="A35">
        <f t="shared" si="0"/>
        <v>2</v>
      </c>
      <c r="B35">
        <f t="shared" ca="1" si="1"/>
        <v>3</v>
      </c>
      <c r="C35">
        <f t="shared" ca="1" si="2"/>
        <v>2</v>
      </c>
      <c r="D35">
        <f t="shared" ca="1" si="3"/>
        <v>3</v>
      </c>
      <c r="E35">
        <f t="shared" ca="1" si="4"/>
        <v>0</v>
      </c>
      <c r="F35">
        <f t="shared" ca="1" si="5"/>
        <v>0</v>
      </c>
      <c r="G35">
        <f t="shared" ca="1" si="6"/>
        <v>0</v>
      </c>
      <c r="H35">
        <f t="shared" ca="1" si="7"/>
        <v>3</v>
      </c>
      <c r="I35" t="e">
        <f t="shared" ca="1" si="8"/>
        <v>#N/A</v>
      </c>
      <c r="J35" s="354" t="s">
        <v>100</v>
      </c>
      <c r="K35" s="138" t="str">
        <f t="shared" ca="1" si="9"/>
        <v>2.3.</v>
      </c>
      <c r="L35" s="355" t="s">
        <v>237</v>
      </c>
      <c r="M35" s="355"/>
      <c r="N35" s="356" t="s">
        <v>273</v>
      </c>
      <c r="O35" s="357" t="s">
        <v>106</v>
      </c>
      <c r="P35" s="358"/>
      <c r="Q35" s="195"/>
      <c r="R35" s="198" t="s">
        <v>7</v>
      </c>
      <c r="S35" s="103">
        <f t="shared" si="10"/>
        <v>0</v>
      </c>
      <c r="T35" s="83">
        <f t="shared" ca="1" si="11"/>
        <v>0</v>
      </c>
      <c r="U35" s="9" t="str">
        <f t="shared" ca="1" si="12"/>
        <v>SEM VALOR</v>
      </c>
      <c r="V35" s="1">
        <f ca="1">IF(OR($A35=0,$A35="S",$A35&gt;CFF!$A$9),"",MAX(V$12:OFFSET(V35,-1,0))+1)</f>
        <v>5</v>
      </c>
      <c r="W35" s="4" t="b">
        <f t="shared" si="13"/>
        <v>0</v>
      </c>
      <c r="X35" s="1" t="str">
        <f t="shared" ca="1" si="14"/>
        <v>X</v>
      </c>
      <c r="Y35" s="103">
        <v>0</v>
      </c>
      <c r="Z35" s="113">
        <f ca="1">ROUND(IF(ISNUMBER(R35),R35,IF(LEFT(R35,3)="BDI",HLOOKUP(R35,DADOS!$T$37:$X$38,2,FALSE),0)),15-11*$X$5)</f>
        <v>0.24</v>
      </c>
      <c r="AA35" s="1"/>
    </row>
    <row r="36" spans="1:27" ht="26.4" x14ac:dyDescent="0.25">
      <c r="A36" t="str">
        <f t="shared" si="0"/>
        <v>S</v>
      </c>
      <c r="B36">
        <f t="shared" si="1"/>
        <v>0</v>
      </c>
      <c r="C36">
        <f t="shared" ca="1" si="2"/>
        <v>2</v>
      </c>
      <c r="D36">
        <f t="shared" ca="1" si="3"/>
        <v>3</v>
      </c>
      <c r="E36">
        <f t="shared" ca="1" si="4"/>
        <v>0</v>
      </c>
      <c r="F36">
        <f t="shared" ca="1" si="5"/>
        <v>0</v>
      </c>
      <c r="G36">
        <f t="shared" ca="1" si="6"/>
        <v>1</v>
      </c>
      <c r="H36">
        <f t="shared" ca="1" si="7"/>
        <v>0</v>
      </c>
      <c r="I36">
        <f t="shared" ca="1" si="8"/>
        <v>0</v>
      </c>
      <c r="J36" s="354" t="s">
        <v>103</v>
      </c>
      <c r="K36" s="138" t="str">
        <f t="shared" ca="1" si="9"/>
        <v>2.3.0.1.</v>
      </c>
      <c r="L36" s="355" t="s">
        <v>253</v>
      </c>
      <c r="M36" s="355" t="s">
        <v>274</v>
      </c>
      <c r="N36" s="356" t="s">
        <v>292</v>
      </c>
      <c r="O36" s="357" t="s">
        <v>298</v>
      </c>
      <c r="P36" s="358">
        <f>P19*3</f>
        <v>225</v>
      </c>
      <c r="Q36" s="195"/>
      <c r="R36" s="198" t="s">
        <v>7</v>
      </c>
      <c r="S36" s="103">
        <f t="shared" si="10"/>
        <v>0</v>
      </c>
      <c r="T36" s="83">
        <f t="shared" si="11"/>
        <v>0</v>
      </c>
      <c r="U36" s="9" t="str">
        <f t="shared" si="12"/>
        <v>SEM VALOR</v>
      </c>
      <c r="V36" s="1" t="str">
        <f ca="1">IF(OR($A36=0,$A36="S",$A36&gt;CFF!$A$9),"",MAX(V$12:OFFSET(V36,-1,0))+1)</f>
        <v/>
      </c>
      <c r="W36" s="4" t="str">
        <f t="shared" si="13"/>
        <v>SINAPI-102512</v>
      </c>
      <c r="X36" s="1">
        <f t="shared" ca="1" si="14"/>
        <v>6499</v>
      </c>
      <c r="Y36" s="103">
        <v>7.79</v>
      </c>
      <c r="Z36" s="113">
        <f ca="1">ROUND(IF(ISNUMBER(R36),R36,IF(LEFT(R36,3)="BDI",HLOOKUP(R36,DADOS!$T$37:$X$38,2,FALSE),0)),15-11*$X$5)</f>
        <v>0.24</v>
      </c>
      <c r="AA36" s="1"/>
    </row>
    <row r="37" spans="1:27" ht="26.4" x14ac:dyDescent="0.25">
      <c r="A37" t="str">
        <f t="shared" si="0"/>
        <v>S</v>
      </c>
      <c r="B37">
        <f t="shared" si="1"/>
        <v>0</v>
      </c>
      <c r="C37">
        <f t="shared" ca="1" si="2"/>
        <v>2</v>
      </c>
      <c r="D37">
        <f t="shared" ca="1" si="3"/>
        <v>3</v>
      </c>
      <c r="E37">
        <f t="shared" ca="1" si="4"/>
        <v>0</v>
      </c>
      <c r="F37">
        <f t="shared" ca="1" si="5"/>
        <v>0</v>
      </c>
      <c r="G37">
        <f t="shared" ca="1" si="6"/>
        <v>2</v>
      </c>
      <c r="H37">
        <f t="shared" ca="1" si="7"/>
        <v>0</v>
      </c>
      <c r="I37">
        <f t="shared" ca="1" si="8"/>
        <v>0</v>
      </c>
      <c r="J37" s="354" t="s">
        <v>103</v>
      </c>
      <c r="K37" s="138" t="str">
        <f t="shared" ca="1" si="9"/>
        <v>2.3.0.2.</v>
      </c>
      <c r="L37" s="355" t="s">
        <v>256</v>
      </c>
      <c r="M37" s="355" t="s">
        <v>275</v>
      </c>
      <c r="N37" s="356" t="s">
        <v>293</v>
      </c>
      <c r="O37" s="357" t="s">
        <v>299</v>
      </c>
      <c r="P37" s="358">
        <v>1</v>
      </c>
      <c r="Q37" s="195"/>
      <c r="R37" s="198" t="s">
        <v>7</v>
      </c>
      <c r="S37" s="103">
        <f t="shared" si="10"/>
        <v>0</v>
      </c>
      <c r="T37" s="83">
        <f t="shared" si="11"/>
        <v>0</v>
      </c>
      <c r="U37" s="9" t="str">
        <f t="shared" si="12"/>
        <v>SEM VALOR</v>
      </c>
      <c r="V37" s="1" t="str">
        <f ca="1">IF(OR($A37=0,$A37="S",$A37&gt;CFF!$A$9),"",MAX(V$12:OFFSET(V37,-1,0))+1)</f>
        <v/>
      </c>
      <c r="W37" s="4" t="str">
        <f t="shared" si="13"/>
        <v>PM BENTO-11</v>
      </c>
      <c r="X37" s="1">
        <f t="shared" ca="1" si="14"/>
        <v>16</v>
      </c>
      <c r="Y37" s="103">
        <v>829.11</v>
      </c>
      <c r="Z37" s="113">
        <f ca="1">ROUND(IF(ISNUMBER(R37),R37,IF(LEFT(R37,3)="BDI",HLOOKUP(R37,DADOS!$T$37:$X$38,2,FALSE),0)),15-11*$X$5)</f>
        <v>0.24</v>
      </c>
      <c r="AA37" s="1"/>
    </row>
    <row r="38" spans="1:27" x14ac:dyDescent="0.25">
      <c r="A38">
        <f>CHOOSE(1+LOG(1+2*(J38="Meta")+4*(J38="Nível 2")+8*(J38="Nível 3")+16*(J38="Nível 4")+32*(J38="Serviço"),2),0,1,2,3,4,"S")</f>
        <v>1</v>
      </c>
      <c r="B38">
        <f ca="1">IF(OR(A38="S",A38=0),0,IF(ISERROR(I38),H38,SMALL(H38:I38,1)))</f>
        <v>21</v>
      </c>
      <c r="C38">
        <f ca="1">IF($A38=1,OFFSET(C38,-1,0)+1,OFFSET(C38,-1,0))</f>
        <v>3</v>
      </c>
      <c r="D38">
        <f ca="1">IF($A38=1,0,IF($A38=2,OFFSET(D38,-1,0)+1,OFFSET(D38,-1,0)))</f>
        <v>0</v>
      </c>
      <c r="E38">
        <f ca="1">IF(AND($A38&lt;=2,$A38&lt;&gt;0),0,IF($A38=3,OFFSET(E38,-1,0)+1,OFFSET(E38,-1,0)))</f>
        <v>0</v>
      </c>
      <c r="F38">
        <f ca="1">IF(AND($A38&lt;=3,$A38&lt;&gt;0),0,IF($A38=4,OFFSET(F38,-1,0)+1,OFFSET(F38,-1,0)))</f>
        <v>0</v>
      </c>
      <c r="G38">
        <f ca="1">IF(AND($A38&lt;=4,$A38&lt;&gt;0),0,IF($A38="S",OFFSET(G38,-1,0)+1,OFFSET(G38,-1,0)))</f>
        <v>0</v>
      </c>
      <c r="H38">
        <f t="shared" ca="1" si="7"/>
        <v>83</v>
      </c>
      <c r="I38">
        <f t="shared" ca="1" si="8"/>
        <v>21</v>
      </c>
      <c r="J38" s="354" t="s">
        <v>99</v>
      </c>
      <c r="K38" s="138" t="str">
        <f ca="1">IF($A38=0,"-",CONCATENATE(C38&amp;".",IF(AND($A$5&gt;=2,$A38&gt;=2),D38&amp;".",""),IF(AND($A$5&gt;=3,$A38&gt;=3),E38&amp;".",""),IF(AND($A$5&gt;=4,$A38&gt;=4),F38&amp;".",""),IF($A38="S",G38&amp;".","")))</f>
        <v>3.</v>
      </c>
      <c r="L38" s="355"/>
      <c r="M38" s="355"/>
      <c r="N38" s="356" t="s">
        <v>282</v>
      </c>
      <c r="O38" s="357" t="s">
        <v>106</v>
      </c>
      <c r="P38" s="358"/>
      <c r="Q38" s="195"/>
      <c r="R38" s="198" t="s">
        <v>7</v>
      </c>
      <c r="S38" s="103">
        <f>IF($A38="S",IF($Q$10="Preço Unitário (R$)",PO.CustoUnitario,ROUND(PO.CustoUnitario*(1+$Z38),15-13*$X$6)),0)</f>
        <v>0</v>
      </c>
      <c r="T38" s="83">
        <f ca="1">IF($A38="S",VTOTAL1,IF($A38=0,0,ROUND(SomaAgrup,15-13*$X$7)))</f>
        <v>0</v>
      </c>
      <c r="U38" s="9" t="str">
        <f ca="1">IF($J38="","",IF($N38="","DESCRIÇÃO",IF(AND($J38="Serviço",$O38=""),"UNIDADE",IF($T38&lt;=0,"SEM VALOR",IF(AND($Y38&lt;&gt;"",$Q38&gt;$Y38),"ACIMA REF.","")))))</f>
        <v>SEM VALOR</v>
      </c>
      <c r="V38" s="1">
        <f ca="1">IF(OR($A38=0,$A38="S",$A38&gt;CFF!$A$9),"",MAX(V$12:OFFSET(V38,-1,0))+1)</f>
        <v>6</v>
      </c>
      <c r="W38" s="4" t="b">
        <f>IF(AND($J38="Serviço",$M38&lt;&gt;""),IF($L38="",$M38,CONCATENATE($L38,"-",$M38)))</f>
        <v>0</v>
      </c>
      <c r="X38" s="1" t="str">
        <f ca="1">IF(AND(Fonte&lt;&gt;"",Código&lt;&gt;""),MATCH(Fonte&amp;" "&amp;IF(Fonte="sinapi",SUBSTITUTE(SUBSTITUTE(Código,"/00","/"),"/0","/"),Código),INDIRECT("'[Referência "&amp;_xlnm.Database&amp;".xls]Banco'!$a:$a"),0),"X")</f>
        <v>X</v>
      </c>
      <c r="Y38" s="103">
        <v>0</v>
      </c>
      <c r="Z38" s="113">
        <f ca="1">ROUND(IF(ISNUMBER(R38),R38,IF(LEFT(R38,3)="BDI",HLOOKUP(R38,DADOS!$T$37:$X$38,2,FALSE),0)),15-11*$X$5)</f>
        <v>0.24</v>
      </c>
      <c r="AA38" s="1"/>
    </row>
    <row r="39" spans="1:27" x14ac:dyDescent="0.25">
      <c r="A39">
        <f t="shared" ref="A39" si="15">CHOOSE(1+LOG(1+2*(J39="Meta")+4*(J39="Nível 2")+8*(J39="Nível 3")+16*(J39="Nível 4")+32*(J39="Serviço"),2),0,1,2,3,4,"S")</f>
        <v>2</v>
      </c>
      <c r="B39">
        <f t="shared" ref="B39" ca="1" si="16">IF(OR(A39="S",A39=0),0,IF(ISERROR(I39),H39,SMALL(H39:I39,1)))</f>
        <v>6</v>
      </c>
      <c r="C39">
        <f t="shared" ca="1" si="2"/>
        <v>3</v>
      </c>
      <c r="D39">
        <f t="shared" ca="1" si="3"/>
        <v>1</v>
      </c>
      <c r="E39">
        <f t="shared" ca="1" si="4"/>
        <v>0</v>
      </c>
      <c r="F39">
        <f t="shared" ca="1" si="5"/>
        <v>0</v>
      </c>
      <c r="G39">
        <f t="shared" ca="1" si="6"/>
        <v>0</v>
      </c>
      <c r="H39">
        <f t="shared" ca="1" si="7"/>
        <v>20</v>
      </c>
      <c r="I39">
        <f t="shared" ca="1" si="8"/>
        <v>6</v>
      </c>
      <c r="J39" s="354" t="s">
        <v>100</v>
      </c>
      <c r="K39" s="138" t="str">
        <f t="shared" ref="K39" ca="1" si="17">IF($A39=0,"-",CONCATENATE(C39&amp;".",IF(AND($A$5&gt;=2,$A39&gt;=2),D39&amp;".",""),IF(AND($A$5&gt;=3,$A39&gt;=3),E39&amp;".",""),IF(AND($A$5&gt;=4,$A39&gt;=4),F39&amp;".",""),IF($A39="S",G39&amp;".","")))</f>
        <v>3.1.</v>
      </c>
      <c r="L39" s="355"/>
      <c r="M39" s="355"/>
      <c r="N39" s="356" t="s">
        <v>258</v>
      </c>
      <c r="O39" s="357" t="s">
        <v>106</v>
      </c>
      <c r="P39" s="358"/>
      <c r="Q39" s="195"/>
      <c r="R39" s="198" t="s">
        <v>7</v>
      </c>
      <c r="S39" s="103">
        <f t="shared" si="10"/>
        <v>0</v>
      </c>
      <c r="T39" s="83">
        <f t="shared" ca="1" si="11"/>
        <v>0</v>
      </c>
      <c r="U39" s="9" t="str">
        <f t="shared" ca="1" si="12"/>
        <v>SEM VALOR</v>
      </c>
      <c r="V39" s="1">
        <f ca="1">IF(OR($A39=0,$A39="S",$A39&gt;CFF!$A$9),"",MAX(V$12:OFFSET(V39,-1,0))+1)</f>
        <v>7</v>
      </c>
      <c r="W39" s="4" t="b">
        <f t="shared" si="13"/>
        <v>0</v>
      </c>
      <c r="X39" s="1" t="str">
        <f t="shared" ca="1" si="14"/>
        <v>X</v>
      </c>
      <c r="Y39" s="103">
        <v>0</v>
      </c>
      <c r="Z39" s="113">
        <f ca="1">ROUND(IF(ISNUMBER(R39),R39,IF(LEFT(R39,3)="BDI",HLOOKUP(R39,DADOS!$T$37:$X$38,2,FALSE),0)),15-11*$X$5)</f>
        <v>0.24</v>
      </c>
      <c r="AA39" s="1"/>
    </row>
    <row r="40" spans="1:27" x14ac:dyDescent="0.25">
      <c r="A40" t="str">
        <f>CHOOSE(1+LOG(1+2*(J40="Meta")+4*(J40="Nível 2")+8*(J40="Nível 3")+16*(J40="Nível 4")+32*(J40="Serviço"),2),0,1,2,3,4,"S")</f>
        <v>S</v>
      </c>
      <c r="B40">
        <f>IF(OR(A40="S",A40=0),0,IF(ISERROR(I40),H40,SMALL(H40:I40,1)))</f>
        <v>0</v>
      </c>
      <c r="C40">
        <f ca="1">IF($A40=1,OFFSET(C40,-1,0)+1,OFFSET(C40,-1,0))</f>
        <v>3</v>
      </c>
      <c r="D40">
        <f ca="1">IF($A40=1,0,IF($A40=2,OFFSET(D40,-1,0)+1,OFFSET(D40,-1,0)))</f>
        <v>1</v>
      </c>
      <c r="E40">
        <f ca="1">IF(AND($A40&lt;=2,$A40&lt;&gt;0),0,IF($A40=3,OFFSET(E40,-1,0)+1,OFFSET(E40,-1,0)))</f>
        <v>0</v>
      </c>
      <c r="F40">
        <f ca="1">IF(AND($A40&lt;=3,$A40&lt;&gt;0),0,IF($A40=4,OFFSET(F40,-1,0)+1,OFFSET(F40,-1,0)))</f>
        <v>0</v>
      </c>
      <c r="G40">
        <f ca="1">IF(AND($A40&lt;=4,$A40&lt;&gt;0),0,IF($A40="S",OFFSET(G40,-1,0)+1,OFFSET(G40,-1,0)))</f>
        <v>1</v>
      </c>
      <c r="H40">
        <f t="shared" ca="1" si="7"/>
        <v>0</v>
      </c>
      <c r="I40">
        <f t="shared" ca="1" si="8"/>
        <v>0</v>
      </c>
      <c r="J40" s="354" t="s">
        <v>103</v>
      </c>
      <c r="K40" s="138" t="str">
        <f ca="1">IF($A40=0,"-",CONCATENATE(C40&amp;".",IF(AND($A$5&gt;=2,$A40&gt;=2),D40&amp;".",""),IF(AND($A$5&gt;=3,$A40&gt;=3),E40&amp;".",""),IF(AND($A$5&gt;=4,$A40&gt;=4),F40&amp;".",""),IF($A40="S",G40&amp;".","")))</f>
        <v>3.1.0.1.</v>
      </c>
      <c r="L40" s="355" t="s">
        <v>256</v>
      </c>
      <c r="M40" s="355" t="s">
        <v>257</v>
      </c>
      <c r="N40" s="356" t="s">
        <v>290</v>
      </c>
      <c r="O40" s="357" t="s">
        <v>296</v>
      </c>
      <c r="P40" s="358">
        <v>25</v>
      </c>
      <c r="Q40" s="195"/>
      <c r="R40" s="198" t="s">
        <v>7</v>
      </c>
      <c r="S40" s="103">
        <f>IF($A40="S",IF($Q$10="Preço Unitário (R$)",PO.CustoUnitario,ROUND(PO.CustoUnitario*(1+$Z40),15-13*$X$6)),0)</f>
        <v>0</v>
      </c>
      <c r="T40" s="83">
        <f>IF($A40="S",VTOTAL1,IF($A40=0,0,ROUND(SomaAgrup,15-13*$X$7)))</f>
        <v>0</v>
      </c>
      <c r="U40" s="9" t="str">
        <f>IF($J40="","",IF($N40="","DESCRIÇÃO",IF(AND($J40="Serviço",$O40=""),"UNIDADE",IF($T40&lt;=0,"SEM VALOR",IF(AND($Y40&lt;&gt;"",$Q40&gt;$Y40),"ACIMA REF.","")))))</f>
        <v>SEM VALOR</v>
      </c>
      <c r="V40" s="1" t="str">
        <f ca="1">IF(OR($A40=0,$A40="S",$A40&gt;CFF!$A$9),"",MAX(V$12:OFFSET(V40,-1,0))+1)</f>
        <v/>
      </c>
      <c r="W40" s="4" t="str">
        <f>IF(AND($J40="Serviço",$M40&lt;&gt;""),IF($L40="",$M40,CONCATENATE($L40,"-",$M40)))</f>
        <v>PM BENTO-78</v>
      </c>
      <c r="X40" s="1">
        <f t="shared" ca="1" si="14"/>
        <v>82</v>
      </c>
      <c r="Y40" s="103">
        <v>4.79</v>
      </c>
      <c r="Z40" s="113">
        <f ca="1">ROUND(IF(ISNUMBER(R40),R40,IF(LEFT(R40,3)="BDI",HLOOKUP(R40,DADOS!$T$37:$X$38,2,FALSE),0)),15-11*$X$5)</f>
        <v>0.24</v>
      </c>
      <c r="AA40" s="1"/>
    </row>
    <row r="41" spans="1:27" ht="26.4" x14ac:dyDescent="0.25">
      <c r="A41" t="str">
        <f>CHOOSE(1+LOG(1+2*(J41="Meta")+4*(J41="Nível 2")+8*(J41="Nível 3")+16*(J41="Nível 4")+32*(J41="Serviço"),2),0,1,2,3,4,"S")</f>
        <v>S</v>
      </c>
      <c r="B41">
        <f>IF(OR(A41="S",A41=0),0,IF(ISERROR(I41),H41,SMALL(H41:I41,1)))</f>
        <v>0</v>
      </c>
      <c r="C41">
        <f ca="1">IF($A41=1,OFFSET(C41,-1,0)+1,OFFSET(C41,-1,0))</f>
        <v>3</v>
      </c>
      <c r="D41">
        <f ca="1">IF($A41=1,0,IF($A41=2,OFFSET(D41,-1,0)+1,OFFSET(D41,-1,0)))</f>
        <v>1</v>
      </c>
      <c r="E41">
        <f ca="1">IF(AND($A41&lt;=2,$A41&lt;&gt;0),0,IF($A41=3,OFFSET(E41,-1,0)+1,OFFSET(E41,-1,0)))</f>
        <v>0</v>
      </c>
      <c r="F41">
        <f ca="1">IF(AND($A41&lt;=3,$A41&lt;&gt;0),0,IF($A41=4,OFFSET(F41,-1,0)+1,OFFSET(F41,-1,0)))</f>
        <v>0</v>
      </c>
      <c r="G41">
        <f ca="1">IF(AND($A41&lt;=4,$A41&lt;&gt;0),0,IF($A41="S",OFFSET(G41,-1,0)+1,OFFSET(G41,-1,0)))</f>
        <v>2</v>
      </c>
      <c r="H41">
        <f ca="1">IF(OR($A41="S",$A41=0),0,MATCH(0,OFFSET($B41,1,$A41,ROW($A$121)-ROW($A41)),0))</f>
        <v>0</v>
      </c>
      <c r="I41">
        <f ca="1">IF(OR($A41="S",$A41=0),0,MATCH(OFFSET($B41,0,$A41)+1,OFFSET($B41,1,$A41,ROW($A$121)-ROW($A41)),0))</f>
        <v>0</v>
      </c>
      <c r="J41" s="354" t="s">
        <v>103</v>
      </c>
      <c r="K41" s="138" t="str">
        <f ca="1">IF($A41=0,"-",CONCATENATE(C41&amp;".",IF(AND($A$5&gt;=2,$A41&gt;=2),D41&amp;".",""),IF(AND($A$5&gt;=3,$A41&gt;=3),E41&amp;".",""),IF(AND($A$5&gt;=4,$A41&gt;=4),F41&amp;".",""),IF($A41="S",G41&amp;".","")))</f>
        <v>3.1.0.2.</v>
      </c>
      <c r="L41" s="355" t="s">
        <v>237</v>
      </c>
      <c r="M41" s="355" t="s">
        <v>284</v>
      </c>
      <c r="N41" s="356" t="s">
        <v>285</v>
      </c>
      <c r="O41" s="357" t="s">
        <v>238</v>
      </c>
      <c r="P41" s="358">
        <f>P40*7*0.5</f>
        <v>87.5</v>
      </c>
      <c r="Q41" s="195"/>
      <c r="R41" s="198" t="s">
        <v>7</v>
      </c>
      <c r="S41" s="103">
        <f>IF($A41="S",IF($Q$10="Preço Unitário (R$)",PO.CustoUnitario,ROUND(PO.CustoUnitario*(1+$Z41),15-13*$X$6)),0)</f>
        <v>0</v>
      </c>
      <c r="T41" s="83">
        <f>IF($A41="S",VTOTAL1,IF($A41=0,0,ROUND(SomaAgrup,15-13*$X$7)))</f>
        <v>0</v>
      </c>
      <c r="U41" s="9" t="str">
        <f>IF($J41="","",IF($N41="","DESCRIÇÃO",IF(AND($J41="Serviço",$O41=""),"UNIDADE",IF($T41&lt;=0,"SEM VALOR",IF(AND($Y41&lt;&gt;"",$Q41&gt;$Y41),"ACIMA REF.","")))))</f>
        <v>SEM VALOR</v>
      </c>
      <c r="V41" s="1" t="str">
        <f ca="1">IF(OR($A41=0,$A41="S",$A41&gt;CFF!$A$9),"",MAX(V$12:OFFSET(V41,-1,0))+1)</f>
        <v/>
      </c>
      <c r="W41" s="4" t="str">
        <f>IF(AND($J41="Serviço",$M41&lt;&gt;""),IF($L41="",$M41,CONCATENATE($L41,"-",$M41)))</f>
        <v>SICRO-5501880</v>
      </c>
      <c r="X41" s="1" t="e">
        <f ca="1">IF(AND(Fonte&lt;&gt;"",Código&lt;&gt;""),MATCH(Fonte&amp;" "&amp;IF(Fonte="sinapi",SUBSTITUTE(SUBSTITUTE(Código,"/00","/"),"/0","/"),Código),INDIRECT("'[Referência "&amp;_xlnm.Database&amp;".xls]Banco'!$a:$a"),0),"X")</f>
        <v>#N/A</v>
      </c>
      <c r="Y41" s="103">
        <v>14.92</v>
      </c>
      <c r="Z41" s="113">
        <f ca="1">ROUND(IF(ISNUMBER(R41),R41,IF(LEFT(R41,3)="BDI",HLOOKUP(R41,DADOS!$T$37:$X$38,2,FALSE),0)),15-11*$X$5)</f>
        <v>0.24</v>
      </c>
      <c r="AA41" s="1"/>
    </row>
    <row r="42" spans="1:27" x14ac:dyDescent="0.25">
      <c r="A42" t="str">
        <f t="shared" ref="A42:A46" si="18">CHOOSE(1+LOG(1+2*(J42="Meta")+4*(J42="Nível 2")+8*(J42="Nível 3")+16*(J42="Nível 4")+32*(J42="Serviço"),2),0,1,2,3,4,"S")</f>
        <v>S</v>
      </c>
      <c r="B42">
        <f t="shared" ref="B42:B46" si="19">IF(OR(A42="S",A42=0),0,IF(ISERROR(I42),H42,SMALL(H42:I42,1)))</f>
        <v>0</v>
      </c>
      <c r="C42">
        <f t="shared" ca="1" si="2"/>
        <v>3</v>
      </c>
      <c r="D42">
        <f t="shared" ca="1" si="3"/>
        <v>1</v>
      </c>
      <c r="E42">
        <f t="shared" ca="1" si="4"/>
        <v>0</v>
      </c>
      <c r="F42">
        <f t="shared" ca="1" si="5"/>
        <v>0</v>
      </c>
      <c r="G42">
        <f t="shared" ca="1" si="6"/>
        <v>3</v>
      </c>
      <c r="H42">
        <f t="shared" ca="1" si="7"/>
        <v>0</v>
      </c>
      <c r="I42">
        <f t="shared" ca="1" si="8"/>
        <v>0</v>
      </c>
      <c r="J42" s="354" t="s">
        <v>103</v>
      </c>
      <c r="K42" s="138" t="str">
        <f t="shared" ref="K42:K46" ca="1" si="20">IF($A42=0,"-",CONCATENATE(C42&amp;".",IF(AND($A$5&gt;=2,$A42&gt;=2),D42&amp;".",""),IF(AND($A$5&gt;=3,$A42&gt;=3),E42&amp;".",""),IF(AND($A$5&gt;=4,$A42&gt;=4),F42&amp;".",""),IF($A42="S",G42&amp;".","")))</f>
        <v>3.1.0.3.</v>
      </c>
      <c r="L42" s="355" t="s">
        <v>237</v>
      </c>
      <c r="M42" s="355" t="s">
        <v>239</v>
      </c>
      <c r="N42" s="356" t="s">
        <v>240</v>
      </c>
      <c r="O42" s="357" t="s">
        <v>238</v>
      </c>
      <c r="P42" s="358">
        <f>P40*0.25*7</f>
        <v>43.75</v>
      </c>
      <c r="Q42" s="195"/>
      <c r="R42" s="198" t="s">
        <v>7</v>
      </c>
      <c r="S42" s="103">
        <f t="shared" si="10"/>
        <v>0</v>
      </c>
      <c r="T42" s="83">
        <f t="shared" si="11"/>
        <v>0</v>
      </c>
      <c r="U42" s="9" t="str">
        <f t="shared" si="12"/>
        <v>SEM VALOR</v>
      </c>
      <c r="V42" s="1" t="str">
        <f ca="1">IF(OR($A42=0,$A42="S",$A42&gt;CFF!$A$9),"",MAX(V$12:OFFSET(V42,-1,0))+1)</f>
        <v/>
      </c>
      <c r="W42" s="4" t="str">
        <f t="shared" si="13"/>
        <v>SICRO-4011211</v>
      </c>
      <c r="X42" s="1" t="e">
        <f t="shared" ca="1" si="14"/>
        <v>#N/A</v>
      </c>
      <c r="Y42" s="103">
        <v>14.47</v>
      </c>
      <c r="Z42" s="113">
        <f ca="1">ROUND(IF(ISNUMBER(R42),R42,IF(LEFT(R42,3)="BDI",HLOOKUP(R42,DADOS!$T$37:$X$38,2,FALSE),0)),15-11*$X$5)</f>
        <v>0.24</v>
      </c>
      <c r="AA42" s="1"/>
    </row>
    <row r="43" spans="1:27" x14ac:dyDescent="0.25">
      <c r="A43" t="str">
        <f t="shared" si="18"/>
        <v>S</v>
      </c>
      <c r="B43">
        <f t="shared" si="19"/>
        <v>0</v>
      </c>
      <c r="C43">
        <f t="shared" ca="1" si="2"/>
        <v>3</v>
      </c>
      <c r="D43">
        <f t="shared" ca="1" si="3"/>
        <v>1</v>
      </c>
      <c r="E43">
        <f t="shared" ca="1" si="4"/>
        <v>0</v>
      </c>
      <c r="F43">
        <f t="shared" ca="1" si="5"/>
        <v>0</v>
      </c>
      <c r="G43">
        <f t="shared" ca="1" si="6"/>
        <v>4</v>
      </c>
      <c r="H43">
        <f t="shared" ca="1" si="7"/>
        <v>0</v>
      </c>
      <c r="I43">
        <f t="shared" ca="1" si="8"/>
        <v>0</v>
      </c>
      <c r="J43" s="354" t="s">
        <v>103</v>
      </c>
      <c r="K43" s="138" t="str">
        <f t="shared" ca="1" si="20"/>
        <v>3.1.0.4.</v>
      </c>
      <c r="L43" s="355" t="s">
        <v>237</v>
      </c>
      <c r="M43" s="355" t="s">
        <v>244</v>
      </c>
      <c r="N43" s="356" t="s">
        <v>243</v>
      </c>
      <c r="O43" s="357" t="s">
        <v>238</v>
      </c>
      <c r="P43" s="358">
        <f>P40*0.25*7</f>
        <v>43.75</v>
      </c>
      <c r="Q43" s="195"/>
      <c r="R43" s="198" t="s">
        <v>7</v>
      </c>
      <c r="S43" s="103">
        <f t="shared" si="10"/>
        <v>0</v>
      </c>
      <c r="T43" s="83">
        <f t="shared" si="11"/>
        <v>0</v>
      </c>
      <c r="U43" s="9" t="str">
        <f t="shared" si="12"/>
        <v>SEM VALOR</v>
      </c>
      <c r="V43" s="1" t="str">
        <f ca="1">IF(OR($A43=0,$A43="S",$A43&gt;CFF!$A$9),"",MAX(V$12:OFFSET(V43,-1,0))+1)</f>
        <v/>
      </c>
      <c r="W43" s="4" t="str">
        <f t="shared" si="13"/>
        <v>SICRO-4011276</v>
      </c>
      <c r="X43" s="1" t="e">
        <f t="shared" ca="1" si="14"/>
        <v>#N/A</v>
      </c>
      <c r="Y43" s="103">
        <v>235.61</v>
      </c>
      <c r="Z43" s="113">
        <f ca="1">ROUND(IF(ISNUMBER(R43),R43,IF(LEFT(R43,3)="BDI",HLOOKUP(R43,DADOS!$T$37:$X$38,2,FALSE),0)),15-11*$X$5)</f>
        <v>0.24</v>
      </c>
      <c r="AA43" s="1"/>
    </row>
    <row r="44" spans="1:27" x14ac:dyDescent="0.25">
      <c r="A44" t="str">
        <f t="shared" si="18"/>
        <v>S</v>
      </c>
      <c r="B44">
        <f t="shared" si="19"/>
        <v>0</v>
      </c>
      <c r="C44">
        <f t="shared" ca="1" si="2"/>
        <v>3</v>
      </c>
      <c r="D44">
        <f t="shared" ca="1" si="3"/>
        <v>1</v>
      </c>
      <c r="E44">
        <f t="shared" ca="1" si="4"/>
        <v>0</v>
      </c>
      <c r="F44">
        <f t="shared" ca="1" si="5"/>
        <v>0</v>
      </c>
      <c r="G44">
        <f t="shared" ca="1" si="6"/>
        <v>5</v>
      </c>
      <c r="H44">
        <f t="shared" ca="1" si="7"/>
        <v>0</v>
      </c>
      <c r="I44">
        <f t="shared" ca="1" si="8"/>
        <v>0</v>
      </c>
      <c r="J44" s="354" t="s">
        <v>103</v>
      </c>
      <c r="K44" s="138" t="str">
        <f t="shared" ca="1" si="20"/>
        <v>3.1.0.5.</v>
      </c>
      <c r="L44" s="355" t="s">
        <v>237</v>
      </c>
      <c r="M44" s="355" t="s">
        <v>241</v>
      </c>
      <c r="N44" s="356" t="s">
        <v>272</v>
      </c>
      <c r="O44" s="357" t="s">
        <v>242</v>
      </c>
      <c r="P44" s="358">
        <f>((P42+P43)*1.8)*30</f>
        <v>4725</v>
      </c>
      <c r="Q44" s="195"/>
      <c r="R44" s="198" t="s">
        <v>7</v>
      </c>
      <c r="S44" s="103">
        <f t="shared" si="10"/>
        <v>0</v>
      </c>
      <c r="T44" s="83">
        <f t="shared" si="11"/>
        <v>0</v>
      </c>
      <c r="U44" s="9" t="str">
        <f t="shared" si="12"/>
        <v>SEM VALOR</v>
      </c>
      <c r="V44" s="1" t="str">
        <f ca="1">IF(OR($A44=0,$A44="S",$A44&gt;CFF!$A$9),"",MAX(V$12:OFFSET(V44,-1,0))+1)</f>
        <v/>
      </c>
      <c r="W44" s="4" t="str">
        <f t="shared" si="13"/>
        <v>SICRO-5914389</v>
      </c>
      <c r="X44" s="1" t="e">
        <f t="shared" ca="1" si="14"/>
        <v>#N/A</v>
      </c>
      <c r="Y44" s="103">
        <v>1</v>
      </c>
      <c r="Z44" s="113">
        <f ca="1">ROUND(IF(ISNUMBER(R44),R44,IF(LEFT(R44,3)="BDI",HLOOKUP(R44,DADOS!$T$37:$X$38,2,FALSE),0)),15-11*$X$5)</f>
        <v>0.24</v>
      </c>
      <c r="AA44" s="1"/>
    </row>
    <row r="45" spans="1:27" x14ac:dyDescent="0.25">
      <c r="A45">
        <f t="shared" si="18"/>
        <v>2</v>
      </c>
      <c r="B45">
        <f t="shared" ca="1" si="19"/>
        <v>11</v>
      </c>
      <c r="C45">
        <f t="shared" ca="1" si="2"/>
        <v>3</v>
      </c>
      <c r="D45">
        <f t="shared" ca="1" si="3"/>
        <v>2</v>
      </c>
      <c r="E45">
        <f t="shared" ca="1" si="4"/>
        <v>0</v>
      </c>
      <c r="F45">
        <f t="shared" ca="1" si="5"/>
        <v>0</v>
      </c>
      <c r="G45">
        <f t="shared" ca="1" si="6"/>
        <v>0</v>
      </c>
      <c r="H45">
        <f t="shared" ca="1" si="7"/>
        <v>14</v>
      </c>
      <c r="I45">
        <f t="shared" ca="1" si="8"/>
        <v>11</v>
      </c>
      <c r="J45" s="354" t="s">
        <v>100</v>
      </c>
      <c r="K45" s="138" t="str">
        <f t="shared" ca="1" si="20"/>
        <v>3.2.</v>
      </c>
      <c r="L45" s="355"/>
      <c r="M45" s="355"/>
      <c r="N45" s="356" t="s">
        <v>259</v>
      </c>
      <c r="O45" s="357" t="s">
        <v>106</v>
      </c>
      <c r="P45" s="358"/>
      <c r="Q45" s="195"/>
      <c r="R45" s="198" t="s">
        <v>7</v>
      </c>
      <c r="S45" s="103">
        <f t="shared" si="10"/>
        <v>0</v>
      </c>
      <c r="T45" s="83">
        <f t="shared" ca="1" si="11"/>
        <v>0</v>
      </c>
      <c r="U45" s="9" t="str">
        <f t="shared" ca="1" si="12"/>
        <v>SEM VALOR</v>
      </c>
      <c r="V45" s="1">
        <f ca="1">IF(OR($A45=0,$A45="S",$A45&gt;CFF!$A$9),"",MAX(V$12:OFFSET(V45,-1,0))+1)</f>
        <v>8</v>
      </c>
      <c r="W45" s="4" t="b">
        <f t="shared" si="13"/>
        <v>0</v>
      </c>
      <c r="X45" s="1" t="str">
        <f t="shared" ca="1" si="14"/>
        <v>X</v>
      </c>
      <c r="Y45" s="103">
        <v>0</v>
      </c>
      <c r="Z45" s="113">
        <f ca="1">ROUND(IF(ISNUMBER(R45),R45,IF(LEFT(R45,3)="BDI",HLOOKUP(R45,DADOS!$T$37:$X$38,2,FALSE),0)),15-11*$X$5)</f>
        <v>0.24</v>
      </c>
      <c r="AA45" s="1"/>
    </row>
    <row r="46" spans="1:27" x14ac:dyDescent="0.25">
      <c r="A46" t="str">
        <f t="shared" si="18"/>
        <v>S</v>
      </c>
      <c r="B46">
        <f t="shared" si="19"/>
        <v>0</v>
      </c>
      <c r="C46">
        <f t="shared" ca="1" si="2"/>
        <v>3</v>
      </c>
      <c r="D46">
        <f t="shared" ca="1" si="3"/>
        <v>2</v>
      </c>
      <c r="E46">
        <f t="shared" ca="1" si="4"/>
        <v>0</v>
      </c>
      <c r="F46">
        <f t="shared" ca="1" si="5"/>
        <v>0</v>
      </c>
      <c r="G46">
        <f t="shared" ca="1" si="6"/>
        <v>1</v>
      </c>
      <c r="H46">
        <f t="shared" ca="1" si="7"/>
        <v>0</v>
      </c>
      <c r="I46">
        <f t="shared" ca="1" si="8"/>
        <v>0</v>
      </c>
      <c r="J46" s="354" t="s">
        <v>103</v>
      </c>
      <c r="K46" s="138" t="str">
        <f t="shared" ca="1" si="20"/>
        <v>3.2.0.1.</v>
      </c>
      <c r="L46" s="355" t="s">
        <v>237</v>
      </c>
      <c r="M46" s="355" t="s">
        <v>245</v>
      </c>
      <c r="N46" s="356" t="s">
        <v>246</v>
      </c>
      <c r="O46" s="357" t="s">
        <v>248</v>
      </c>
      <c r="P46" s="358">
        <f>P40*7</f>
        <v>175</v>
      </c>
      <c r="Q46" s="195"/>
      <c r="R46" s="198" t="s">
        <v>7</v>
      </c>
      <c r="S46" s="103">
        <f t="shared" si="10"/>
        <v>0</v>
      </c>
      <c r="T46" s="83">
        <f t="shared" si="11"/>
        <v>0</v>
      </c>
      <c r="U46" s="9" t="str">
        <f t="shared" si="12"/>
        <v>SEM VALOR</v>
      </c>
      <c r="V46" s="1" t="str">
        <f ca="1">IF(OR($A46=0,$A46="S",$A46&gt;CFF!$A$9),"",MAX(V$12:OFFSET(V46,-1,0))+1)</f>
        <v/>
      </c>
      <c r="W46" s="4" t="str">
        <f t="shared" si="13"/>
        <v>SICRO-4011352</v>
      </c>
      <c r="X46" s="1" t="e">
        <f t="shared" ca="1" si="14"/>
        <v>#N/A</v>
      </c>
      <c r="Y46" s="103">
        <v>0.51</v>
      </c>
      <c r="Z46" s="113">
        <f ca="1">ROUND(IF(ISNUMBER(R46),R46,IF(LEFT(R46,3)="BDI",HLOOKUP(R46,DADOS!$T$37:$X$38,2,FALSE),0)),15-11*$X$5)</f>
        <v>0.24</v>
      </c>
      <c r="AA46" s="1"/>
    </row>
    <row r="47" spans="1:27" x14ac:dyDescent="0.25">
      <c r="A47" t="str">
        <f>CHOOSE(1+LOG(1+2*(J47="Meta")+4*(J47="Nível 2")+8*(J47="Nível 3")+16*(J47="Nível 4")+32*(J47="Serviço"),2),0,1,2,3,4,"S")</f>
        <v>S</v>
      </c>
      <c r="B47">
        <f>IF(OR(A47="S",A47=0),0,IF(ISERROR(I47),H47,SMALL(H47:I47,1)))</f>
        <v>0</v>
      </c>
      <c r="C47">
        <f ca="1">IF($A47=1,OFFSET(C47,-1,0)+1,OFFSET(C47,-1,0))</f>
        <v>3</v>
      </c>
      <c r="D47">
        <f ca="1">IF($A47=1,0,IF($A47=2,OFFSET(D47,-1,0)+1,OFFSET(D47,-1,0)))</f>
        <v>2</v>
      </c>
      <c r="E47">
        <f ca="1">IF(AND($A47&lt;=2,$A47&lt;&gt;0),0,IF($A47=3,OFFSET(E47,-1,0)+1,OFFSET(E47,-1,0)))</f>
        <v>0</v>
      </c>
      <c r="F47">
        <f ca="1">IF(AND($A47&lt;=3,$A47&lt;&gt;0),0,IF($A47=4,OFFSET(F47,-1,0)+1,OFFSET(F47,-1,0)))</f>
        <v>0</v>
      </c>
      <c r="G47">
        <f ca="1">IF(AND($A47&lt;=4,$A47&lt;&gt;0),0,IF($A47="S",OFFSET(G47,-1,0)+1,OFFSET(G47,-1,0)))</f>
        <v>2</v>
      </c>
      <c r="H47">
        <f t="shared" ref="H47:H79" ca="1" si="21">IF(OR($A47="S",$A47=0),0,MATCH(0,OFFSET($B47,1,$A47,ROW($A$121)-ROW($A47)),0))</f>
        <v>0</v>
      </c>
      <c r="I47">
        <f t="shared" ref="I47:I79" ca="1" si="22">IF(OR($A47="S",$A47=0),0,MATCH(OFFSET($B47,0,$A47)+1,OFFSET($B47,1,$A47,ROW($A$121)-ROW($A47)),0))</f>
        <v>0</v>
      </c>
      <c r="J47" s="354" t="s">
        <v>103</v>
      </c>
      <c r="K47" s="138" t="str">
        <f ca="1">IF($A47=0,"-",CONCATENATE(C47&amp;".",IF(AND($A$5&gt;=2,$A47&gt;=2),D47&amp;".",""),IF(AND($A$5&gt;=3,$A47&gt;=3),E47&amp;".",""),IF(AND($A$5&gt;=4,$A47&gt;=4),F47&amp;".",""),IF($A47="S",G47&amp;".","")))</f>
        <v>3.2.0.2.</v>
      </c>
      <c r="L47" s="355" t="s">
        <v>237</v>
      </c>
      <c r="M47" s="355" t="s">
        <v>260</v>
      </c>
      <c r="N47" s="356" t="s">
        <v>277</v>
      </c>
      <c r="O47" s="357" t="s">
        <v>248</v>
      </c>
      <c r="P47" s="358">
        <f>P46</f>
        <v>175</v>
      </c>
      <c r="Q47" s="195"/>
      <c r="R47" s="198" t="s">
        <v>7</v>
      </c>
      <c r="S47" s="103">
        <f>IF($A47="S",IF($Q$10="Preço Unitário (R$)",PO.CustoUnitario,ROUND(PO.CustoUnitario*(1+$Z47),15-13*$X$6)),0)</f>
        <v>0</v>
      </c>
      <c r="T47" s="83">
        <f>IF($A47="S",VTOTAL1,IF($A47=0,0,ROUND(SomaAgrup,15-13*$X$7)))</f>
        <v>0</v>
      </c>
      <c r="U47" s="9" t="str">
        <f>IF($J47="","",IF($N47="","DESCRIÇÃO",IF(AND($J47="Serviço",$O47=""),"UNIDADE",IF($T47&lt;=0,"SEM VALOR",IF(AND($Y47&lt;&gt;"",$Q47&gt;$Y47),"ACIMA REF.","")))))</f>
        <v>SEM VALOR</v>
      </c>
      <c r="V47" s="1" t="str">
        <f ca="1">IF(OR($A47=0,$A47="S",$A47&gt;CFF!$A$9),"",MAX(V$12:OFFSET(V47,-1,0))+1)</f>
        <v/>
      </c>
      <c r="W47" s="4" t="str">
        <f>IF(AND($J47="Serviço",$M47&lt;&gt;""),IF($L47="",$M47,CONCATENATE($L47,"-",$M47)))</f>
        <v>SICRO-4011353</v>
      </c>
      <c r="X47" s="1" t="e">
        <f ca="1">IF(AND(Fonte&lt;&gt;"",Código&lt;&gt;""),MATCH(Fonte&amp;" "&amp;IF(Fonte="sinapi",SUBSTITUTE(SUBSTITUTE(Código,"/00","/"),"/0","/"),Código),INDIRECT("'[Referência "&amp;_xlnm.Database&amp;".xls]Banco'!$a:$a"),0),"X")</f>
        <v>#N/A</v>
      </c>
      <c r="Y47" s="103">
        <v>0.35</v>
      </c>
      <c r="Z47" s="113">
        <f ca="1">ROUND(IF(ISNUMBER(R47),R47,IF(LEFT(R47,3)="BDI",HLOOKUP(R47,DADOS!$T$37:$X$38,2,FALSE),0)),15-11*$X$5)</f>
        <v>0.24</v>
      </c>
      <c r="AA47" s="1"/>
    </row>
    <row r="48" spans="1:27" x14ac:dyDescent="0.25">
      <c r="A48" t="str">
        <f t="shared" ref="A48:A52" si="23">CHOOSE(1+LOG(1+2*(J48="Meta")+4*(J48="Nível 2")+8*(J48="Nível 3")+16*(J48="Nível 4")+32*(J48="Serviço"),2),0,1,2,3,4,"S")</f>
        <v>S</v>
      </c>
      <c r="B48">
        <f t="shared" ref="B48:B52" si="24">IF(OR(A48="S",A48=0),0,IF(ISERROR(I48),H48,SMALL(H48:I48,1)))</f>
        <v>0</v>
      </c>
      <c r="C48">
        <f t="shared" ca="1" si="2"/>
        <v>3</v>
      </c>
      <c r="D48">
        <f t="shared" ca="1" si="3"/>
        <v>2</v>
      </c>
      <c r="E48">
        <f t="shared" ca="1" si="4"/>
        <v>0</v>
      </c>
      <c r="F48">
        <f t="shared" ca="1" si="5"/>
        <v>0</v>
      </c>
      <c r="G48">
        <f t="shared" ca="1" si="6"/>
        <v>3</v>
      </c>
      <c r="H48">
        <f t="shared" ca="1" si="21"/>
        <v>0</v>
      </c>
      <c r="I48">
        <f t="shared" ca="1" si="22"/>
        <v>0</v>
      </c>
      <c r="J48" s="354" t="s">
        <v>103</v>
      </c>
      <c r="K48" s="138" t="str">
        <f t="shared" ref="K48:K52" ca="1" si="25">IF($A48=0,"-",CONCATENATE(C48&amp;".",IF(AND($A$5&gt;=2,$A48&gt;=2),D48&amp;".",""),IF(AND($A$5&gt;=3,$A48&gt;=3),E48&amp;".",""),IF(AND($A$5&gt;=4,$A48&gt;=4),F48&amp;".",""),IF($A48="S",G48&amp;".","")))</f>
        <v>3.2.0.3.</v>
      </c>
      <c r="L48" s="355" t="s">
        <v>237</v>
      </c>
      <c r="M48" s="355" t="s">
        <v>261</v>
      </c>
      <c r="N48" s="356" t="s">
        <v>286</v>
      </c>
      <c r="O48" s="357" t="s">
        <v>249</v>
      </c>
      <c r="P48" s="358">
        <f>P40*7*0.125</f>
        <v>21.875</v>
      </c>
      <c r="Q48" s="195"/>
      <c r="R48" s="198" t="s">
        <v>7</v>
      </c>
      <c r="S48" s="103">
        <f t="shared" si="10"/>
        <v>0</v>
      </c>
      <c r="T48" s="83">
        <f t="shared" si="11"/>
        <v>0</v>
      </c>
      <c r="U48" s="9" t="str">
        <f t="shared" si="12"/>
        <v>SEM VALOR</v>
      </c>
      <c r="V48" s="1" t="str">
        <f ca="1">IF(OR($A48=0,$A48="S",$A48&gt;CFF!$A$9),"",MAX(V$12:OFFSET(V48,-1,0))+1)</f>
        <v/>
      </c>
      <c r="W48" s="4" t="str">
        <f t="shared" si="13"/>
        <v>SICRO-4011463</v>
      </c>
      <c r="X48" s="1" t="e">
        <f t="shared" ca="1" si="14"/>
        <v>#N/A</v>
      </c>
      <c r="Y48" s="103">
        <v>228.05</v>
      </c>
      <c r="Z48" s="113">
        <f ca="1">ROUND(IF(ISNUMBER(R48),R48,IF(LEFT(R48,3)="BDI",HLOOKUP(R48,DADOS!$T$37:$X$38,2,FALSE),0)),15-11*$X$5)</f>
        <v>0.24</v>
      </c>
      <c r="AA48" s="1"/>
    </row>
    <row r="49" spans="1:27" x14ac:dyDescent="0.25">
      <c r="A49" t="str">
        <f t="shared" si="23"/>
        <v>S</v>
      </c>
      <c r="B49">
        <f t="shared" si="24"/>
        <v>0</v>
      </c>
      <c r="C49">
        <f t="shared" ca="1" si="2"/>
        <v>3</v>
      </c>
      <c r="D49">
        <f t="shared" ca="1" si="3"/>
        <v>2</v>
      </c>
      <c r="E49">
        <f t="shared" ca="1" si="4"/>
        <v>0</v>
      </c>
      <c r="F49">
        <f t="shared" ca="1" si="5"/>
        <v>0</v>
      </c>
      <c r="G49">
        <f t="shared" ca="1" si="6"/>
        <v>4</v>
      </c>
      <c r="H49">
        <f t="shared" ca="1" si="21"/>
        <v>0</v>
      </c>
      <c r="I49">
        <f t="shared" ca="1" si="22"/>
        <v>0</v>
      </c>
      <c r="J49" s="354" t="s">
        <v>103</v>
      </c>
      <c r="K49" s="138" t="str">
        <f t="shared" ca="1" si="25"/>
        <v>3.2.0.4.</v>
      </c>
      <c r="L49" s="355" t="s">
        <v>262</v>
      </c>
      <c r="M49" s="355" t="s">
        <v>263</v>
      </c>
      <c r="N49" s="356" t="s">
        <v>264</v>
      </c>
      <c r="O49" s="357" t="s">
        <v>249</v>
      </c>
      <c r="P49" s="358">
        <f>P46*0.0013</f>
        <v>0.22749999999999998</v>
      </c>
      <c r="Q49" s="195"/>
      <c r="R49" s="198" t="s">
        <v>7</v>
      </c>
      <c r="S49" s="103">
        <f t="shared" si="10"/>
        <v>0</v>
      </c>
      <c r="T49" s="83">
        <f t="shared" si="11"/>
        <v>0</v>
      </c>
      <c r="U49" s="9" t="str">
        <f t="shared" si="12"/>
        <v>SEM VALOR</v>
      </c>
      <c r="V49" s="1" t="str">
        <f ca="1">IF(OR($A49=0,$A49="S",$A49&gt;CFF!$A$9),"",MAX(V$12:OFFSET(V49,-1,0))+1)</f>
        <v/>
      </c>
      <c r="W49" s="4" t="str">
        <f t="shared" si="13"/>
        <v>ANP-INSUMO</v>
      </c>
      <c r="X49" s="1" t="e">
        <f t="shared" ca="1" si="14"/>
        <v>#N/A</v>
      </c>
      <c r="Y49" s="103">
        <v>3404.41</v>
      </c>
      <c r="Z49" s="113">
        <f ca="1">ROUND(IF(ISNUMBER(R49),R49,IF(LEFT(R49,3)="BDI",HLOOKUP(R49,DADOS!$T$37:$X$38,2,FALSE),0)),15-11*$X$5)</f>
        <v>0.24</v>
      </c>
      <c r="AA49" s="1"/>
    </row>
    <row r="50" spans="1:27" x14ac:dyDescent="0.25">
      <c r="A50" t="str">
        <f t="shared" si="23"/>
        <v>S</v>
      </c>
      <c r="B50">
        <f t="shared" si="24"/>
        <v>0</v>
      </c>
      <c r="C50">
        <f t="shared" ca="1" si="2"/>
        <v>3</v>
      </c>
      <c r="D50">
        <f t="shared" ca="1" si="3"/>
        <v>2</v>
      </c>
      <c r="E50">
        <f t="shared" ca="1" si="4"/>
        <v>0</v>
      </c>
      <c r="F50">
        <f t="shared" ca="1" si="5"/>
        <v>0</v>
      </c>
      <c r="G50">
        <f t="shared" ca="1" si="6"/>
        <v>5</v>
      </c>
      <c r="H50">
        <f t="shared" ca="1" si="21"/>
        <v>0</v>
      </c>
      <c r="I50">
        <f t="shared" ca="1" si="22"/>
        <v>0</v>
      </c>
      <c r="J50" s="354" t="s">
        <v>103</v>
      </c>
      <c r="K50" s="138" t="str">
        <f t="shared" ca="1" si="25"/>
        <v>3.2.0.5.</v>
      </c>
      <c r="L50" s="355" t="s">
        <v>262</v>
      </c>
      <c r="M50" s="355" t="s">
        <v>263</v>
      </c>
      <c r="N50" s="356" t="s">
        <v>265</v>
      </c>
      <c r="O50" s="357" t="s">
        <v>249</v>
      </c>
      <c r="P50" s="358">
        <f>P46*0.0009</f>
        <v>0.1575</v>
      </c>
      <c r="Q50" s="195"/>
      <c r="R50" s="198" t="s">
        <v>7</v>
      </c>
      <c r="S50" s="103">
        <f t="shared" si="10"/>
        <v>0</v>
      </c>
      <c r="T50" s="83">
        <f t="shared" si="11"/>
        <v>0</v>
      </c>
      <c r="U50" s="9" t="str">
        <f t="shared" si="12"/>
        <v>SEM VALOR</v>
      </c>
      <c r="V50" s="1" t="str">
        <f ca="1">IF(OR($A50=0,$A50="S",$A50&gt;CFF!$A$9),"",MAX(V$12:OFFSET(V50,-1,0))+1)</f>
        <v/>
      </c>
      <c r="W50" s="4" t="str">
        <f t="shared" si="13"/>
        <v>ANP-INSUMO</v>
      </c>
      <c r="X50" s="1" t="e">
        <f t="shared" ca="1" si="14"/>
        <v>#N/A</v>
      </c>
      <c r="Y50" s="103">
        <v>3202.6</v>
      </c>
      <c r="Z50" s="113">
        <f ca="1">ROUND(IF(ISNUMBER(R50),R50,IF(LEFT(R50,3)="BDI",HLOOKUP(R50,DADOS!$T$37:$X$38,2,FALSE),0)),15-11*$X$5)</f>
        <v>0.24</v>
      </c>
      <c r="AA50" s="1"/>
    </row>
    <row r="51" spans="1:27" x14ac:dyDescent="0.25">
      <c r="A51" t="str">
        <f t="shared" si="23"/>
        <v>S</v>
      </c>
      <c r="B51">
        <f t="shared" si="24"/>
        <v>0</v>
      </c>
      <c r="C51">
        <f t="shared" ca="1" si="2"/>
        <v>3</v>
      </c>
      <c r="D51">
        <f t="shared" ca="1" si="3"/>
        <v>2</v>
      </c>
      <c r="E51">
        <f t="shared" ca="1" si="4"/>
        <v>0</v>
      </c>
      <c r="F51">
        <f t="shared" ca="1" si="5"/>
        <v>0</v>
      </c>
      <c r="G51">
        <f t="shared" ca="1" si="6"/>
        <v>6</v>
      </c>
      <c r="H51">
        <f t="shared" ca="1" si="21"/>
        <v>0</v>
      </c>
      <c r="I51">
        <f t="shared" ca="1" si="22"/>
        <v>0</v>
      </c>
      <c r="J51" s="354" t="s">
        <v>103</v>
      </c>
      <c r="K51" s="138" t="str">
        <f t="shared" ca="1" si="25"/>
        <v>3.2.0.6.</v>
      </c>
      <c r="L51" s="355" t="s">
        <v>262</v>
      </c>
      <c r="M51" s="355" t="s">
        <v>263</v>
      </c>
      <c r="N51" s="356" t="s">
        <v>266</v>
      </c>
      <c r="O51" s="357" t="s">
        <v>249</v>
      </c>
      <c r="P51" s="358">
        <f>P46*0.0109</f>
        <v>1.9075</v>
      </c>
      <c r="Q51" s="195"/>
      <c r="R51" s="198" t="s">
        <v>7</v>
      </c>
      <c r="S51" s="103">
        <f t="shared" si="10"/>
        <v>0</v>
      </c>
      <c r="T51" s="83">
        <f t="shared" si="11"/>
        <v>0</v>
      </c>
      <c r="U51" s="9" t="str">
        <f t="shared" si="12"/>
        <v>SEM VALOR</v>
      </c>
      <c r="V51" s="1" t="str">
        <f ca="1">IF(OR($A51=0,$A51="S",$A51&gt;CFF!$A$9),"",MAX(V$12:OFFSET(V51,-1,0))+1)</f>
        <v/>
      </c>
      <c r="W51" s="4" t="str">
        <f t="shared" si="13"/>
        <v>ANP-INSUMO</v>
      </c>
      <c r="X51" s="1" t="e">
        <f t="shared" ca="1" si="14"/>
        <v>#N/A</v>
      </c>
      <c r="Y51" s="103">
        <v>4697.6400000000003</v>
      </c>
      <c r="Z51" s="113">
        <f ca="1">ROUND(IF(ISNUMBER(R51),R51,IF(LEFT(R51,3)="BDI",HLOOKUP(R51,DADOS!$T$37:$X$38,2,FALSE),0)),15-11*$X$5)</f>
        <v>0.24</v>
      </c>
      <c r="AA51" s="1"/>
    </row>
    <row r="52" spans="1:27" x14ac:dyDescent="0.25">
      <c r="A52">
        <f t="shared" si="23"/>
        <v>3</v>
      </c>
      <c r="B52">
        <f t="shared" ca="1" si="24"/>
        <v>4</v>
      </c>
      <c r="C52">
        <f t="shared" ca="1" si="2"/>
        <v>3</v>
      </c>
      <c r="D52">
        <f t="shared" ca="1" si="3"/>
        <v>2</v>
      </c>
      <c r="E52">
        <f t="shared" ca="1" si="4"/>
        <v>1</v>
      </c>
      <c r="F52">
        <f t="shared" ca="1" si="5"/>
        <v>0</v>
      </c>
      <c r="G52">
        <f t="shared" ca="1" si="6"/>
        <v>0</v>
      </c>
      <c r="H52">
        <f t="shared" ca="1" si="21"/>
        <v>4</v>
      </c>
      <c r="I52" t="e">
        <f t="shared" ca="1" si="22"/>
        <v>#N/A</v>
      </c>
      <c r="J52" s="354" t="s">
        <v>101</v>
      </c>
      <c r="K52" s="138" t="str">
        <f t="shared" ca="1" si="25"/>
        <v>3.2.1.</v>
      </c>
      <c r="L52" s="355"/>
      <c r="M52" s="355"/>
      <c r="N52" s="356" t="s">
        <v>267</v>
      </c>
      <c r="O52" s="357" t="s">
        <v>106</v>
      </c>
      <c r="P52" s="358"/>
      <c r="Q52" s="195"/>
      <c r="R52" s="198" t="s">
        <v>7</v>
      </c>
      <c r="S52" s="103">
        <f t="shared" si="10"/>
        <v>0</v>
      </c>
      <c r="T52" s="83">
        <f t="shared" ca="1" si="11"/>
        <v>0</v>
      </c>
      <c r="U52" s="9" t="str">
        <f t="shared" ca="1" si="12"/>
        <v>SEM VALOR</v>
      </c>
      <c r="V52" s="1" t="str">
        <f ca="1">IF(OR($A52=0,$A52="S",$A52&gt;CFF!$A$9),"",MAX(V$12:OFFSET(V52,-1,0))+1)</f>
        <v/>
      </c>
      <c r="W52" s="4" t="b">
        <f t="shared" si="13"/>
        <v>0</v>
      </c>
      <c r="X52" s="1" t="str">
        <f t="shared" ca="1" si="14"/>
        <v>X</v>
      </c>
      <c r="Y52" s="103">
        <v>0</v>
      </c>
      <c r="Z52" s="113">
        <f ca="1">ROUND(IF(ISNUMBER(R52),R52,IF(LEFT(R52,3)="BDI",HLOOKUP(R52,DADOS!$T$37:$X$38,2,FALSE),0)),15-11*$X$5)</f>
        <v>0.24</v>
      </c>
      <c r="AA52" s="1"/>
    </row>
    <row r="53" spans="1:27" ht="26.4" x14ac:dyDescent="0.25">
      <c r="A53" t="str">
        <f>CHOOSE(1+LOG(1+2*(J53="Meta")+4*(J53="Nível 2")+8*(J53="Nível 3")+16*(J53="Nível 4")+32*(J53="Serviço"),2),0,1,2,3,4,"S")</f>
        <v>S</v>
      </c>
      <c r="B53">
        <f>IF(OR(A53="S",A53=0),0,IF(ISERROR(I53),H53,SMALL(H53:I53,1)))</f>
        <v>0</v>
      </c>
      <c r="C53">
        <f ca="1">IF($A53=1,OFFSET(C53,-1,0)+1,OFFSET(C53,-1,0))</f>
        <v>3</v>
      </c>
      <c r="D53">
        <f ca="1">IF($A53=1,0,IF($A53=2,OFFSET(D53,-1,0)+1,OFFSET(D53,-1,0)))</f>
        <v>2</v>
      </c>
      <c r="E53">
        <f ca="1">IF(AND($A53&lt;=2,$A53&lt;&gt;0),0,IF($A53=3,OFFSET(E53,-1,0)+1,OFFSET(E53,-1,0)))</f>
        <v>1</v>
      </c>
      <c r="F53">
        <f ca="1">IF(AND($A53&lt;=3,$A53&lt;&gt;0),0,IF($A53=4,OFFSET(F53,-1,0)+1,OFFSET(F53,-1,0)))</f>
        <v>0</v>
      </c>
      <c r="G53">
        <f ca="1">IF(AND($A53&lt;=4,$A53&lt;&gt;0),0,IF($A53="S",OFFSET(G53,-1,0)+1,OFFSET(G53,-1,0)))</f>
        <v>1</v>
      </c>
      <c r="H53">
        <f t="shared" ca="1" si="21"/>
        <v>0</v>
      </c>
      <c r="I53">
        <f t="shared" ca="1" si="22"/>
        <v>0</v>
      </c>
      <c r="J53" s="354" t="s">
        <v>103</v>
      </c>
      <c r="K53" s="138" t="str">
        <f ca="1">IF($A53=0,"-",CONCATENATE(C53&amp;".",IF(AND($A$5&gt;=2,$A53&gt;=2),D53&amp;".",""),IF(AND($A$5&gt;=3,$A53&gt;=3),E53&amp;".",""),IF(AND($A$5&gt;=4,$A53&gt;=4),F53&amp;".",""),IF($A53="S",G53&amp;".","")))</f>
        <v>3.2.1.1.</v>
      </c>
      <c r="L53" s="355" t="s">
        <v>237</v>
      </c>
      <c r="M53" s="355" t="s">
        <v>268</v>
      </c>
      <c r="N53" s="356" t="s">
        <v>269</v>
      </c>
      <c r="O53" s="357" t="s">
        <v>249</v>
      </c>
      <c r="P53" s="358">
        <f>P48</f>
        <v>21.875</v>
      </c>
      <c r="Q53" s="195"/>
      <c r="R53" s="198" t="s">
        <v>7</v>
      </c>
      <c r="S53" s="103">
        <f>IF($A53="S",IF($Q$10="Preço Unitário (R$)",PO.CustoUnitario,ROUND(PO.CustoUnitario*(1+$Z53),15-13*$X$6)),0)</f>
        <v>0</v>
      </c>
      <c r="T53" s="83">
        <f>IF($A53="S",VTOTAL1,IF($A53=0,0,ROUND(SomaAgrup,15-13*$X$7)))</f>
        <v>0</v>
      </c>
      <c r="U53" s="9" t="str">
        <f>IF($J53="","",IF($N53="","DESCRIÇÃO",IF(AND($J53="Serviço",$O53=""),"UNIDADE",IF($T53&lt;=0,"SEM VALOR",IF(AND($Y53&lt;&gt;"",$Q53&gt;$Y53),"ACIMA REF.","")))))</f>
        <v>SEM VALOR</v>
      </c>
      <c r="V53" s="1" t="str">
        <f ca="1">IF(OR($A53=0,$A53="S",$A53&gt;CFF!$A$9),"",MAX(V$12:OFFSET(V53,-1,0))+1)</f>
        <v/>
      </c>
      <c r="W53" s="4" t="str">
        <f>IF(AND($J53="Serviço",$M53&lt;&gt;""),IF($L53="",$M53,CONCATENATE($L53,"-",$M53)))</f>
        <v>SICRO-5914643</v>
      </c>
      <c r="X53" s="1" t="e">
        <f t="shared" ca="1" si="14"/>
        <v>#N/A</v>
      </c>
      <c r="Y53" s="103">
        <v>6.44</v>
      </c>
      <c r="Z53" s="113">
        <f ca="1">ROUND(IF(ISNUMBER(R53),R53,IF(LEFT(R53,3)="BDI",HLOOKUP(R53,DADOS!$T$37:$X$38,2,FALSE),0)),15-11*$X$5)</f>
        <v>0.24</v>
      </c>
      <c r="AA53" s="1"/>
    </row>
    <row r="54" spans="1:27" x14ac:dyDescent="0.25">
      <c r="A54" t="str">
        <f t="shared" ref="A54:A58" si="26">CHOOSE(1+LOG(1+2*(J54="Meta")+4*(J54="Nível 2")+8*(J54="Nível 3")+16*(J54="Nível 4")+32*(J54="Serviço"),2),0,1,2,3,4,"S")</f>
        <v>S</v>
      </c>
      <c r="B54">
        <f t="shared" ref="B54:B58" si="27">IF(OR(A54="S",A54=0),0,IF(ISERROR(I54),H54,SMALL(H54:I54,1)))</f>
        <v>0</v>
      </c>
      <c r="C54">
        <f t="shared" ca="1" si="2"/>
        <v>3</v>
      </c>
      <c r="D54">
        <f t="shared" ca="1" si="3"/>
        <v>2</v>
      </c>
      <c r="E54">
        <f t="shared" ca="1" si="4"/>
        <v>1</v>
      </c>
      <c r="F54">
        <f t="shared" ca="1" si="5"/>
        <v>0</v>
      </c>
      <c r="G54">
        <f t="shared" ca="1" si="6"/>
        <v>2</v>
      </c>
      <c r="H54">
        <f t="shared" ca="1" si="21"/>
        <v>0</v>
      </c>
      <c r="I54">
        <f t="shared" ca="1" si="22"/>
        <v>0</v>
      </c>
      <c r="J54" s="354" t="s">
        <v>103</v>
      </c>
      <c r="K54" s="138" t="str">
        <f t="shared" ref="K54:K58" ca="1" si="28">IF($A54=0,"-",CONCATENATE(C54&amp;".",IF(AND($A$5&gt;=2,$A54&gt;=2),D54&amp;".",""),IF(AND($A$5&gt;=3,$A54&gt;=3),E54&amp;".",""),IF(AND($A$5&gt;=4,$A54&gt;=4),F54&amp;".",""),IF($A54="S",G54&amp;".","")))</f>
        <v>3.2.1.2.</v>
      </c>
      <c r="L54" s="355" t="s">
        <v>237</v>
      </c>
      <c r="M54" s="355" t="s">
        <v>247</v>
      </c>
      <c r="N54" s="356" t="s">
        <v>270</v>
      </c>
      <c r="O54" s="357" t="s">
        <v>249</v>
      </c>
      <c r="P54" s="358">
        <f>P48*30</f>
        <v>656.25</v>
      </c>
      <c r="Q54" s="195"/>
      <c r="R54" s="198" t="s">
        <v>7</v>
      </c>
      <c r="S54" s="103">
        <f t="shared" si="10"/>
        <v>0</v>
      </c>
      <c r="T54" s="83">
        <f t="shared" si="11"/>
        <v>0</v>
      </c>
      <c r="U54" s="9" t="str">
        <f t="shared" si="12"/>
        <v>SEM VALOR</v>
      </c>
      <c r="V54" s="1" t="str">
        <f ca="1">IF(OR($A54=0,$A54="S",$A54&gt;CFF!$A$9),"",MAX(V$12:OFFSET(V54,-1,0))+1)</f>
        <v/>
      </c>
      <c r="W54" s="4" t="str">
        <f t="shared" si="13"/>
        <v>SICRO-5914612</v>
      </c>
      <c r="X54" s="1" t="e">
        <f t="shared" ca="1" si="14"/>
        <v>#N/A</v>
      </c>
      <c r="Y54" s="103">
        <v>1.46</v>
      </c>
      <c r="Z54" s="113">
        <f ca="1">ROUND(IF(ISNUMBER(R54),R54,IF(LEFT(R54,3)="BDI",HLOOKUP(R54,DADOS!$T$37:$X$38,2,FALSE),0)),15-11*$X$5)</f>
        <v>0.24</v>
      </c>
      <c r="AA54" s="1"/>
    </row>
    <row r="55" spans="1:27" ht="26.4" x14ac:dyDescent="0.25">
      <c r="A55" t="str">
        <f t="shared" si="26"/>
        <v>S</v>
      </c>
      <c r="B55">
        <f t="shared" si="27"/>
        <v>0</v>
      </c>
      <c r="C55">
        <f t="shared" ca="1" si="2"/>
        <v>3</v>
      </c>
      <c r="D55">
        <f t="shared" ca="1" si="3"/>
        <v>2</v>
      </c>
      <c r="E55">
        <f t="shared" ca="1" si="4"/>
        <v>1</v>
      </c>
      <c r="F55">
        <f t="shared" ca="1" si="5"/>
        <v>0</v>
      </c>
      <c r="G55">
        <f t="shared" ca="1" si="6"/>
        <v>3</v>
      </c>
      <c r="H55">
        <f t="shared" ca="1" si="21"/>
        <v>0</v>
      </c>
      <c r="I55">
        <f t="shared" ca="1" si="22"/>
        <v>0</v>
      </c>
      <c r="J55" s="354" t="s">
        <v>103</v>
      </c>
      <c r="K55" s="138" t="str">
        <f t="shared" ca="1" si="28"/>
        <v>3.2.1.3.</v>
      </c>
      <c r="L55" s="355" t="s">
        <v>253</v>
      </c>
      <c r="M55" s="355" t="s">
        <v>271</v>
      </c>
      <c r="N55" s="356" t="s">
        <v>291</v>
      </c>
      <c r="O55" s="357" t="s">
        <v>297</v>
      </c>
      <c r="P55" s="358">
        <f>(P46+P47)*0.0036*30</f>
        <v>37.799999999999997</v>
      </c>
      <c r="Q55" s="195"/>
      <c r="R55" s="198" t="s">
        <v>7</v>
      </c>
      <c r="S55" s="103">
        <f t="shared" si="10"/>
        <v>0</v>
      </c>
      <c r="T55" s="83">
        <f t="shared" si="11"/>
        <v>0</v>
      </c>
      <c r="U55" s="9" t="str">
        <f t="shared" si="12"/>
        <v>SEM VALOR</v>
      </c>
      <c r="V55" s="1" t="str">
        <f ca="1">IF(OR($A55=0,$A55="S",$A55&gt;CFF!$A$9),"",MAX(V$12:OFFSET(V55,-1,0))+1)</f>
        <v/>
      </c>
      <c r="W55" s="4" t="str">
        <f t="shared" si="13"/>
        <v>SINAPI-102330</v>
      </c>
      <c r="X55" s="1">
        <f t="shared" ca="1" si="14"/>
        <v>7339</v>
      </c>
      <c r="Y55" s="103">
        <v>1.84</v>
      </c>
      <c r="Z55" s="113">
        <f ca="1">ROUND(IF(ISNUMBER(R55),R55,IF(LEFT(R55,3)="BDI",HLOOKUP(R55,DADOS!$T$37:$X$38,2,FALSE),0)),15-11*$X$5)</f>
        <v>0.24</v>
      </c>
      <c r="AA55" s="1"/>
    </row>
    <row r="56" spans="1:27" x14ac:dyDescent="0.25">
      <c r="A56">
        <f t="shared" si="26"/>
        <v>2</v>
      </c>
      <c r="B56">
        <f t="shared" ca="1" si="27"/>
        <v>3</v>
      </c>
      <c r="C56">
        <f t="shared" ca="1" si="2"/>
        <v>3</v>
      </c>
      <c r="D56">
        <f t="shared" ca="1" si="3"/>
        <v>3</v>
      </c>
      <c r="E56">
        <f t="shared" ca="1" si="4"/>
        <v>0</v>
      </c>
      <c r="F56">
        <f t="shared" ca="1" si="5"/>
        <v>0</v>
      </c>
      <c r="G56">
        <f t="shared" ca="1" si="6"/>
        <v>0</v>
      </c>
      <c r="H56">
        <f t="shared" ca="1" si="21"/>
        <v>3</v>
      </c>
      <c r="I56" t="e">
        <f t="shared" ca="1" si="22"/>
        <v>#N/A</v>
      </c>
      <c r="J56" s="354" t="s">
        <v>100</v>
      </c>
      <c r="K56" s="138" t="str">
        <f t="shared" ca="1" si="28"/>
        <v>3.3.</v>
      </c>
      <c r="L56" s="355" t="s">
        <v>237</v>
      </c>
      <c r="M56" s="355"/>
      <c r="N56" s="356" t="s">
        <v>273</v>
      </c>
      <c r="O56" s="357" t="s">
        <v>106</v>
      </c>
      <c r="P56" s="358"/>
      <c r="Q56" s="195"/>
      <c r="R56" s="198" t="s">
        <v>7</v>
      </c>
      <c r="S56" s="103">
        <f t="shared" si="10"/>
        <v>0</v>
      </c>
      <c r="T56" s="83">
        <f t="shared" ca="1" si="11"/>
        <v>0</v>
      </c>
      <c r="U56" s="9" t="str">
        <f t="shared" ca="1" si="12"/>
        <v>SEM VALOR</v>
      </c>
      <c r="V56" s="1">
        <f ca="1">IF(OR($A56=0,$A56="S",$A56&gt;CFF!$A$9),"",MAX(V$12:OFFSET(V56,-1,0))+1)</f>
        <v>9</v>
      </c>
      <c r="W56" s="4" t="b">
        <f t="shared" si="13"/>
        <v>0</v>
      </c>
      <c r="X56" s="1" t="str">
        <f t="shared" ca="1" si="14"/>
        <v>X</v>
      </c>
      <c r="Y56" s="103">
        <v>0</v>
      </c>
      <c r="Z56" s="113">
        <f ca="1">ROUND(IF(ISNUMBER(R56),R56,IF(LEFT(R56,3)="BDI",HLOOKUP(R56,DADOS!$T$37:$X$38,2,FALSE),0)),15-11*$X$5)</f>
        <v>0.24</v>
      </c>
      <c r="AA56" s="1"/>
    </row>
    <row r="57" spans="1:27" ht="26.4" x14ac:dyDescent="0.25">
      <c r="A57" t="str">
        <f t="shared" si="26"/>
        <v>S</v>
      </c>
      <c r="B57">
        <f t="shared" si="27"/>
        <v>0</v>
      </c>
      <c r="C57">
        <f t="shared" ca="1" si="2"/>
        <v>3</v>
      </c>
      <c r="D57">
        <f t="shared" ca="1" si="3"/>
        <v>3</v>
      </c>
      <c r="E57">
        <f t="shared" ca="1" si="4"/>
        <v>0</v>
      </c>
      <c r="F57">
        <f t="shared" ca="1" si="5"/>
        <v>0</v>
      </c>
      <c r="G57">
        <f t="shared" ca="1" si="6"/>
        <v>1</v>
      </c>
      <c r="H57">
        <f t="shared" ca="1" si="21"/>
        <v>0</v>
      </c>
      <c r="I57">
        <f t="shared" ca="1" si="22"/>
        <v>0</v>
      </c>
      <c r="J57" s="354" t="s">
        <v>103</v>
      </c>
      <c r="K57" s="138" t="str">
        <f t="shared" ca="1" si="28"/>
        <v>3.3.0.1.</v>
      </c>
      <c r="L57" s="355" t="s">
        <v>253</v>
      </c>
      <c r="M57" s="355" t="s">
        <v>274</v>
      </c>
      <c r="N57" s="356" t="s">
        <v>292</v>
      </c>
      <c r="O57" s="357" t="s">
        <v>298</v>
      </c>
      <c r="P57" s="358">
        <f>P40*3</f>
        <v>75</v>
      </c>
      <c r="Q57" s="195"/>
      <c r="R57" s="198" t="s">
        <v>7</v>
      </c>
      <c r="S57" s="103">
        <f t="shared" si="10"/>
        <v>0</v>
      </c>
      <c r="T57" s="83">
        <f t="shared" si="11"/>
        <v>0</v>
      </c>
      <c r="U57" s="9" t="str">
        <f t="shared" si="12"/>
        <v>SEM VALOR</v>
      </c>
      <c r="V57" s="1" t="str">
        <f ca="1">IF(OR($A57=0,$A57="S",$A57&gt;CFF!$A$9),"",MAX(V$12:OFFSET(V57,-1,0))+1)</f>
        <v/>
      </c>
      <c r="W57" s="4" t="str">
        <f t="shared" si="13"/>
        <v>SINAPI-102512</v>
      </c>
      <c r="X57" s="1">
        <f t="shared" ca="1" si="14"/>
        <v>6499</v>
      </c>
      <c r="Y57" s="103">
        <v>7.79</v>
      </c>
      <c r="Z57" s="113">
        <f ca="1">ROUND(IF(ISNUMBER(R57),R57,IF(LEFT(R57,3)="BDI",HLOOKUP(R57,DADOS!$T$37:$X$38,2,FALSE),0)),15-11*$X$5)</f>
        <v>0.24</v>
      </c>
      <c r="AA57" s="1"/>
    </row>
    <row r="58" spans="1:27" ht="26.4" x14ac:dyDescent="0.25">
      <c r="A58" t="str">
        <f t="shared" si="26"/>
        <v>S</v>
      </c>
      <c r="B58">
        <f t="shared" si="27"/>
        <v>0</v>
      </c>
      <c r="C58">
        <f t="shared" ca="1" si="2"/>
        <v>3</v>
      </c>
      <c r="D58">
        <f t="shared" ca="1" si="3"/>
        <v>3</v>
      </c>
      <c r="E58">
        <f t="shared" ca="1" si="4"/>
        <v>0</v>
      </c>
      <c r="F58">
        <f t="shared" ca="1" si="5"/>
        <v>0</v>
      </c>
      <c r="G58">
        <f t="shared" ca="1" si="6"/>
        <v>2</v>
      </c>
      <c r="H58">
        <f t="shared" ca="1" si="21"/>
        <v>0</v>
      </c>
      <c r="I58">
        <f t="shared" ca="1" si="22"/>
        <v>0</v>
      </c>
      <c r="J58" s="354" t="s">
        <v>103</v>
      </c>
      <c r="K58" s="138" t="str">
        <f t="shared" ca="1" si="28"/>
        <v>3.3.0.2.</v>
      </c>
      <c r="L58" s="355" t="s">
        <v>256</v>
      </c>
      <c r="M58" s="355" t="s">
        <v>275</v>
      </c>
      <c r="N58" s="356" t="s">
        <v>293</v>
      </c>
      <c r="O58" s="357" t="s">
        <v>299</v>
      </c>
      <c r="P58" s="358">
        <v>1</v>
      </c>
      <c r="Q58" s="195"/>
      <c r="R58" s="198" t="s">
        <v>7</v>
      </c>
      <c r="S58" s="103">
        <f t="shared" si="10"/>
        <v>0</v>
      </c>
      <c r="T58" s="83">
        <f t="shared" si="11"/>
        <v>0</v>
      </c>
      <c r="U58" s="9" t="str">
        <f t="shared" si="12"/>
        <v>SEM VALOR</v>
      </c>
      <c r="V58" s="1" t="str">
        <f ca="1">IF(OR($A58=0,$A58="S",$A58&gt;CFF!$A$9),"",MAX(V$12:OFFSET(V58,-1,0))+1)</f>
        <v/>
      </c>
      <c r="W58" s="4" t="str">
        <f t="shared" si="13"/>
        <v>PM BENTO-11</v>
      </c>
      <c r="X58" s="1">
        <f t="shared" ca="1" si="14"/>
        <v>16</v>
      </c>
      <c r="Y58" s="103">
        <v>829.11</v>
      </c>
      <c r="Z58" s="113">
        <f ca="1">ROUND(IF(ISNUMBER(R58),R58,IF(LEFT(R58,3)="BDI",HLOOKUP(R58,DADOS!$T$37:$X$38,2,FALSE),0)),15-11*$X$5)</f>
        <v>0.24</v>
      </c>
      <c r="AA58" s="1"/>
    </row>
    <row r="59" spans="1:27" x14ac:dyDescent="0.25">
      <c r="A59">
        <f>CHOOSE(1+LOG(1+2*(J59="Meta")+4*(J59="Nível 2")+8*(J59="Nível 3")+16*(J59="Nível 4")+32*(J59="Serviço"),2),0,1,2,3,4,"S")</f>
        <v>1</v>
      </c>
      <c r="B59">
        <f ca="1">IF(OR(A59="S",A59=0),0,IF(ISERROR(I59),H59,SMALL(H59:I59,1)))</f>
        <v>21</v>
      </c>
      <c r="C59">
        <f ca="1">IF($A59=1,OFFSET(C59,-1,0)+1,OFFSET(C59,-1,0))</f>
        <v>4</v>
      </c>
      <c r="D59">
        <f ca="1">IF($A59=1,0,IF($A59=2,OFFSET(D59,-1,0)+1,OFFSET(D59,-1,0)))</f>
        <v>0</v>
      </c>
      <c r="E59">
        <f ca="1">IF(AND($A59&lt;=2,$A59&lt;&gt;0),0,IF($A59=3,OFFSET(E59,-1,0)+1,OFFSET(E59,-1,0)))</f>
        <v>0</v>
      </c>
      <c r="F59">
        <f ca="1">IF(AND($A59&lt;=3,$A59&lt;&gt;0),0,IF($A59=4,OFFSET(F59,-1,0)+1,OFFSET(F59,-1,0)))</f>
        <v>0</v>
      </c>
      <c r="G59">
        <f ca="1">IF(AND($A59&lt;=4,$A59&lt;&gt;0),0,IF($A59="S",OFFSET(G59,-1,0)+1,OFFSET(G59,-1,0)))</f>
        <v>0</v>
      </c>
      <c r="H59">
        <f t="shared" ca="1" si="21"/>
        <v>62</v>
      </c>
      <c r="I59">
        <f t="shared" ca="1" si="22"/>
        <v>21</v>
      </c>
      <c r="J59" s="354" t="s">
        <v>99</v>
      </c>
      <c r="K59" s="138" t="str">
        <f ca="1">IF($A59=0,"-",CONCATENATE(C59&amp;".",IF(AND($A$5&gt;=2,$A59&gt;=2),D59&amp;".",""),IF(AND($A$5&gt;=3,$A59&gt;=3),E59&amp;".",""),IF(AND($A$5&gt;=4,$A59&gt;=4),F59&amp;".",""),IF($A59="S",G59&amp;".","")))</f>
        <v>4.</v>
      </c>
      <c r="L59" s="355"/>
      <c r="M59" s="355"/>
      <c r="N59" s="356" t="s">
        <v>279</v>
      </c>
      <c r="O59" s="357" t="s">
        <v>106</v>
      </c>
      <c r="P59" s="358"/>
      <c r="Q59" s="195"/>
      <c r="R59" s="198" t="s">
        <v>7</v>
      </c>
      <c r="S59" s="103">
        <f>IF($A59="S",IF($Q$10="Preço Unitário (R$)",PO.CustoUnitario,ROUND(PO.CustoUnitario*(1+$Z59),15-13*$X$6)),0)</f>
        <v>0</v>
      </c>
      <c r="T59" s="83">
        <f ca="1">IF($A59="S",VTOTAL1,IF($A59=0,0,ROUND(SomaAgrup,15-13*$X$7)))</f>
        <v>0</v>
      </c>
      <c r="U59" s="9" t="str">
        <f ca="1">IF($J59="","",IF($N59="","DESCRIÇÃO",IF(AND($J59="Serviço",$O59=""),"UNIDADE",IF($T59&lt;=0,"SEM VALOR",IF(AND($Y59&lt;&gt;"",$Q59&gt;$Y59),"ACIMA REF.","")))))</f>
        <v>SEM VALOR</v>
      </c>
      <c r="V59" s="1">
        <f ca="1">IF(OR($A59=0,$A59="S",$A59&gt;CFF!$A$9),"",MAX(V$12:OFFSET(V59,-1,0))+1)</f>
        <v>10</v>
      </c>
      <c r="W59" s="4" t="b">
        <f>IF(AND($J59="Serviço",$M59&lt;&gt;""),IF($L59="",$M59,CONCATENATE($L59,"-",$M59)))</f>
        <v>0</v>
      </c>
      <c r="X59" s="1" t="str">
        <f ca="1">IF(AND(Fonte&lt;&gt;"",Código&lt;&gt;""),MATCH(Fonte&amp;" "&amp;IF(Fonte="sinapi",SUBSTITUTE(SUBSTITUTE(Código,"/00","/"),"/0","/"),Código),INDIRECT("'[Referência "&amp;_xlnm.Database&amp;".xls]Banco'!$a:$a"),0),"X")</f>
        <v>X</v>
      </c>
      <c r="Y59" s="103">
        <v>0</v>
      </c>
      <c r="Z59" s="113">
        <f ca="1">ROUND(IF(ISNUMBER(R59),R59,IF(LEFT(R59,3)="BDI",HLOOKUP(R59,DADOS!$T$37:$X$38,2,FALSE),0)),15-11*$X$5)</f>
        <v>0.24</v>
      </c>
      <c r="AA59" s="1"/>
    </row>
    <row r="60" spans="1:27" x14ac:dyDescent="0.25">
      <c r="A60">
        <f t="shared" ref="A60" si="29">CHOOSE(1+LOG(1+2*(J60="Meta")+4*(J60="Nível 2")+8*(J60="Nível 3")+16*(J60="Nível 4")+32*(J60="Serviço"),2),0,1,2,3,4,"S")</f>
        <v>2</v>
      </c>
      <c r="B60">
        <f t="shared" ref="B60" ca="1" si="30">IF(OR(A60="S",A60=0),0,IF(ISERROR(I60),H60,SMALL(H60:I60,1)))</f>
        <v>6</v>
      </c>
      <c r="C60">
        <f t="shared" ca="1" si="2"/>
        <v>4</v>
      </c>
      <c r="D60">
        <f t="shared" ca="1" si="3"/>
        <v>1</v>
      </c>
      <c r="E60">
        <f t="shared" ca="1" si="4"/>
        <v>0</v>
      </c>
      <c r="F60">
        <f t="shared" ca="1" si="5"/>
        <v>0</v>
      </c>
      <c r="G60">
        <f t="shared" ca="1" si="6"/>
        <v>0</v>
      </c>
      <c r="H60">
        <f t="shared" ca="1" si="21"/>
        <v>20</v>
      </c>
      <c r="I60">
        <f t="shared" ca="1" si="22"/>
        <v>6</v>
      </c>
      <c r="J60" s="354" t="s">
        <v>100</v>
      </c>
      <c r="K60" s="138" t="str">
        <f t="shared" ref="K60" ca="1" si="31">IF($A60=0,"-",CONCATENATE(C60&amp;".",IF(AND($A$5&gt;=2,$A60&gt;=2),D60&amp;".",""),IF(AND($A$5&gt;=3,$A60&gt;=3),E60&amp;".",""),IF(AND($A$5&gt;=4,$A60&gt;=4),F60&amp;".",""),IF($A60="S",G60&amp;".","")))</f>
        <v>4.1.</v>
      </c>
      <c r="L60" s="355"/>
      <c r="M60" s="355"/>
      <c r="N60" s="356" t="s">
        <v>258</v>
      </c>
      <c r="O60" s="357" t="s">
        <v>106</v>
      </c>
      <c r="P60" s="358"/>
      <c r="Q60" s="195"/>
      <c r="R60" s="198" t="s">
        <v>7</v>
      </c>
      <c r="S60" s="103">
        <f t="shared" si="10"/>
        <v>0</v>
      </c>
      <c r="T60" s="83">
        <f t="shared" ca="1" si="11"/>
        <v>0</v>
      </c>
      <c r="U60" s="9" t="str">
        <f t="shared" ca="1" si="12"/>
        <v>SEM VALOR</v>
      </c>
      <c r="V60" s="1">
        <f ca="1">IF(OR($A60=0,$A60="S",$A60&gt;CFF!$A$9),"",MAX(V$12:OFFSET(V60,-1,0))+1)</f>
        <v>11</v>
      </c>
      <c r="W60" s="4" t="b">
        <f t="shared" si="13"/>
        <v>0</v>
      </c>
      <c r="X60" s="1" t="str">
        <f t="shared" ca="1" si="14"/>
        <v>X</v>
      </c>
      <c r="Y60" s="103">
        <v>0</v>
      </c>
      <c r="Z60" s="113">
        <f ca="1">ROUND(IF(ISNUMBER(R60),R60,IF(LEFT(R60,3)="BDI",HLOOKUP(R60,DADOS!$T$37:$X$38,2,FALSE),0)),15-11*$X$5)</f>
        <v>0.24</v>
      </c>
      <c r="AA60" s="1"/>
    </row>
    <row r="61" spans="1:27" x14ac:dyDescent="0.25">
      <c r="A61" t="str">
        <f>CHOOSE(1+LOG(1+2*(J61="Meta")+4*(J61="Nível 2")+8*(J61="Nível 3")+16*(J61="Nível 4")+32*(J61="Serviço"),2),0,1,2,3,4,"S")</f>
        <v>S</v>
      </c>
      <c r="B61">
        <f>IF(OR(A61="S",A61=0),0,IF(ISERROR(I61),H61,SMALL(H61:I61,1)))</f>
        <v>0</v>
      </c>
      <c r="C61">
        <f ca="1">IF($A61=1,OFFSET(C61,-1,0)+1,OFFSET(C61,-1,0))</f>
        <v>4</v>
      </c>
      <c r="D61">
        <f ca="1">IF($A61=1,0,IF($A61=2,OFFSET(D61,-1,0)+1,OFFSET(D61,-1,0)))</f>
        <v>1</v>
      </c>
      <c r="E61">
        <f ca="1">IF(AND($A61&lt;=2,$A61&lt;&gt;0),0,IF($A61=3,OFFSET(E61,-1,0)+1,OFFSET(E61,-1,0)))</f>
        <v>0</v>
      </c>
      <c r="F61">
        <f ca="1">IF(AND($A61&lt;=3,$A61&lt;&gt;0),0,IF($A61=4,OFFSET(F61,-1,0)+1,OFFSET(F61,-1,0)))</f>
        <v>0</v>
      </c>
      <c r="G61">
        <f ca="1">IF(AND($A61&lt;=4,$A61&lt;&gt;0),0,IF($A61="S",OFFSET(G61,-1,0)+1,OFFSET(G61,-1,0)))</f>
        <v>1</v>
      </c>
      <c r="H61">
        <f t="shared" ca="1" si="21"/>
        <v>0</v>
      </c>
      <c r="I61">
        <f t="shared" ca="1" si="22"/>
        <v>0</v>
      </c>
      <c r="J61" s="354" t="s">
        <v>103</v>
      </c>
      <c r="K61" s="138" t="str">
        <f ca="1">IF($A61=0,"-",CONCATENATE(C61&amp;".",IF(AND($A$5&gt;=2,$A61&gt;=2),D61&amp;".",""),IF(AND($A$5&gt;=3,$A61&gt;=3),E61&amp;".",""),IF(AND($A$5&gt;=4,$A61&gt;=4),F61&amp;".",""),IF($A61="S",G61&amp;".","")))</f>
        <v>4.1.0.1.</v>
      </c>
      <c r="L61" s="355" t="s">
        <v>256</v>
      </c>
      <c r="M61" s="355" t="s">
        <v>257</v>
      </c>
      <c r="N61" s="356" t="s">
        <v>290</v>
      </c>
      <c r="O61" s="357" t="s">
        <v>296</v>
      </c>
      <c r="P61" s="358">
        <v>240</v>
      </c>
      <c r="Q61" s="195"/>
      <c r="R61" s="198" t="s">
        <v>7</v>
      </c>
      <c r="S61" s="103">
        <f>IF($A61="S",IF($Q$10="Preço Unitário (R$)",PO.CustoUnitario,ROUND(PO.CustoUnitario*(1+$Z61),15-13*$X$6)),0)</f>
        <v>0</v>
      </c>
      <c r="T61" s="83">
        <f>IF($A61="S",VTOTAL1,IF($A61=0,0,ROUND(SomaAgrup,15-13*$X$7)))</f>
        <v>0</v>
      </c>
      <c r="U61" s="9" t="str">
        <f>IF($J61="","",IF($N61="","DESCRIÇÃO",IF(AND($J61="Serviço",$O61=""),"UNIDADE",IF($T61&lt;=0,"SEM VALOR",IF(AND($Y61&lt;&gt;"",$Q61&gt;$Y61),"ACIMA REF.","")))))</f>
        <v>SEM VALOR</v>
      </c>
      <c r="V61" s="1" t="str">
        <f ca="1">IF(OR($A61=0,$A61="S",$A61&gt;CFF!$A$9),"",MAX(V$12:OFFSET(V61,-1,0))+1)</f>
        <v/>
      </c>
      <c r="W61" s="4" t="str">
        <f>IF(AND($J61="Serviço",$M61&lt;&gt;""),IF($L61="",$M61,CONCATENATE($L61,"-",$M61)))</f>
        <v>PM BENTO-78</v>
      </c>
      <c r="X61" s="1">
        <f t="shared" ca="1" si="14"/>
        <v>82</v>
      </c>
      <c r="Y61" s="103">
        <v>4.79</v>
      </c>
      <c r="Z61" s="113">
        <f ca="1">ROUND(IF(ISNUMBER(R61),R61,IF(LEFT(R61,3)="BDI",HLOOKUP(R61,DADOS!$T$37:$X$38,2,FALSE),0)),15-11*$X$5)</f>
        <v>0.24</v>
      </c>
      <c r="AA61" s="1"/>
    </row>
    <row r="62" spans="1:27" ht="26.4" x14ac:dyDescent="0.25">
      <c r="A62" t="str">
        <f>CHOOSE(1+LOG(1+2*(J62="Meta")+4*(J62="Nível 2")+8*(J62="Nível 3")+16*(J62="Nível 4")+32*(J62="Serviço"),2),0,1,2,3,4,"S")</f>
        <v>S</v>
      </c>
      <c r="B62">
        <f>IF(OR(A62="S",A62=0),0,IF(ISERROR(I62),H62,SMALL(H62:I62,1)))</f>
        <v>0</v>
      </c>
      <c r="C62">
        <f ca="1">IF($A62=1,OFFSET(C62,-1,0)+1,OFFSET(C62,-1,0))</f>
        <v>4</v>
      </c>
      <c r="D62">
        <f ca="1">IF($A62=1,0,IF($A62=2,OFFSET(D62,-1,0)+1,OFFSET(D62,-1,0)))</f>
        <v>1</v>
      </c>
      <c r="E62">
        <f ca="1">IF(AND($A62&lt;=2,$A62&lt;&gt;0),0,IF($A62=3,OFFSET(E62,-1,0)+1,OFFSET(E62,-1,0)))</f>
        <v>0</v>
      </c>
      <c r="F62">
        <f ca="1">IF(AND($A62&lt;=3,$A62&lt;&gt;0),0,IF($A62=4,OFFSET(F62,-1,0)+1,OFFSET(F62,-1,0)))</f>
        <v>0</v>
      </c>
      <c r="G62">
        <f ca="1">IF(AND($A62&lt;=4,$A62&lt;&gt;0),0,IF($A62="S",OFFSET(G62,-1,0)+1,OFFSET(G62,-1,0)))</f>
        <v>2</v>
      </c>
      <c r="H62">
        <f ca="1">IF(OR($A62="S",$A62=0),0,MATCH(0,OFFSET($B62,1,$A62,ROW($A$121)-ROW($A62)),0))</f>
        <v>0</v>
      </c>
      <c r="I62">
        <f ca="1">IF(OR($A62="S",$A62=0),0,MATCH(OFFSET($B62,0,$A62)+1,OFFSET($B62,1,$A62,ROW($A$121)-ROW($A62)),0))</f>
        <v>0</v>
      </c>
      <c r="J62" s="354" t="s">
        <v>103</v>
      </c>
      <c r="K62" s="138" t="str">
        <f ca="1">IF($A62=0,"-",CONCATENATE(C62&amp;".",IF(AND($A$5&gt;=2,$A62&gt;=2),D62&amp;".",""),IF(AND($A$5&gt;=3,$A62&gt;=3),E62&amp;".",""),IF(AND($A$5&gt;=4,$A62&gt;=4),F62&amp;".",""),IF($A62="S",G62&amp;".","")))</f>
        <v>4.1.0.2.</v>
      </c>
      <c r="L62" s="355" t="s">
        <v>237</v>
      </c>
      <c r="M62" s="355" t="s">
        <v>284</v>
      </c>
      <c r="N62" s="356" t="s">
        <v>285</v>
      </c>
      <c r="O62" s="357" t="s">
        <v>238</v>
      </c>
      <c r="P62" s="358">
        <f>P61*7*0.5</f>
        <v>840</v>
      </c>
      <c r="Q62" s="195"/>
      <c r="R62" s="198" t="s">
        <v>7</v>
      </c>
      <c r="S62" s="103">
        <f>IF($A62="S",IF($Q$10="Preço Unitário (R$)",PO.CustoUnitario,ROUND(PO.CustoUnitario*(1+$Z62),15-13*$X$6)),0)</f>
        <v>0</v>
      </c>
      <c r="T62" s="83">
        <f>IF($A62="S",VTOTAL1,IF($A62=0,0,ROUND(SomaAgrup,15-13*$X$7)))</f>
        <v>0</v>
      </c>
      <c r="U62" s="9" t="str">
        <f>IF($J62="","",IF($N62="","DESCRIÇÃO",IF(AND($J62="Serviço",$O62=""),"UNIDADE",IF($T62&lt;=0,"SEM VALOR",IF(AND($Y62&lt;&gt;"",$Q62&gt;$Y62),"ACIMA REF.","")))))</f>
        <v>SEM VALOR</v>
      </c>
      <c r="V62" s="1" t="str">
        <f ca="1">IF(OR($A62=0,$A62="S",$A62&gt;CFF!$A$9),"",MAX(V$12:OFFSET(V62,-1,0))+1)</f>
        <v/>
      </c>
      <c r="W62" s="4" t="str">
        <f>IF(AND($J62="Serviço",$M62&lt;&gt;""),IF($L62="",$M62,CONCATENATE($L62,"-",$M62)))</f>
        <v>SICRO-5501880</v>
      </c>
      <c r="X62" s="1" t="e">
        <f ca="1">IF(AND(Fonte&lt;&gt;"",Código&lt;&gt;""),MATCH(Fonte&amp;" "&amp;IF(Fonte="sinapi",SUBSTITUTE(SUBSTITUTE(Código,"/00","/"),"/0","/"),Código),INDIRECT("'[Referência "&amp;_xlnm.Database&amp;".xls]Banco'!$a:$a"),0),"X")</f>
        <v>#N/A</v>
      </c>
      <c r="Y62" s="103">
        <v>14.92</v>
      </c>
      <c r="Z62" s="113">
        <f ca="1">ROUND(IF(ISNUMBER(R62),R62,IF(LEFT(R62,3)="BDI",HLOOKUP(R62,DADOS!$T$37:$X$38,2,FALSE),0)),15-11*$X$5)</f>
        <v>0.24</v>
      </c>
      <c r="AA62" s="1"/>
    </row>
    <row r="63" spans="1:27" x14ac:dyDescent="0.25">
      <c r="A63" t="str">
        <f t="shared" ref="A63:A67" si="32">CHOOSE(1+LOG(1+2*(J63="Meta")+4*(J63="Nível 2")+8*(J63="Nível 3")+16*(J63="Nível 4")+32*(J63="Serviço"),2),0,1,2,3,4,"S")</f>
        <v>S</v>
      </c>
      <c r="B63">
        <f t="shared" ref="B63:B67" si="33">IF(OR(A63="S",A63=0),0,IF(ISERROR(I63),H63,SMALL(H63:I63,1)))</f>
        <v>0</v>
      </c>
      <c r="C63">
        <f t="shared" ca="1" si="2"/>
        <v>4</v>
      </c>
      <c r="D63">
        <f t="shared" ca="1" si="3"/>
        <v>1</v>
      </c>
      <c r="E63">
        <f t="shared" ca="1" si="4"/>
        <v>0</v>
      </c>
      <c r="F63">
        <f t="shared" ca="1" si="5"/>
        <v>0</v>
      </c>
      <c r="G63">
        <f t="shared" ca="1" si="6"/>
        <v>3</v>
      </c>
      <c r="H63">
        <f t="shared" ca="1" si="21"/>
        <v>0</v>
      </c>
      <c r="I63">
        <f t="shared" ca="1" si="22"/>
        <v>0</v>
      </c>
      <c r="J63" s="354" t="s">
        <v>103</v>
      </c>
      <c r="K63" s="138" t="str">
        <f t="shared" ref="K63:K67" ca="1" si="34">IF($A63=0,"-",CONCATENATE(C63&amp;".",IF(AND($A$5&gt;=2,$A63&gt;=2),D63&amp;".",""),IF(AND($A$5&gt;=3,$A63&gt;=3),E63&amp;".",""),IF(AND($A$5&gt;=4,$A63&gt;=4),F63&amp;".",""),IF($A63="S",G63&amp;".","")))</f>
        <v>4.1.0.3.</v>
      </c>
      <c r="L63" s="355" t="s">
        <v>237</v>
      </c>
      <c r="M63" s="355" t="s">
        <v>239</v>
      </c>
      <c r="N63" s="356" t="s">
        <v>240</v>
      </c>
      <c r="O63" s="357" t="s">
        <v>238</v>
      </c>
      <c r="P63" s="358">
        <f>P61*0.25*7</f>
        <v>420</v>
      </c>
      <c r="Q63" s="195"/>
      <c r="R63" s="198" t="s">
        <v>7</v>
      </c>
      <c r="S63" s="103">
        <f t="shared" si="10"/>
        <v>0</v>
      </c>
      <c r="T63" s="83">
        <f t="shared" si="11"/>
        <v>0</v>
      </c>
      <c r="U63" s="9" t="str">
        <f t="shared" si="12"/>
        <v>SEM VALOR</v>
      </c>
      <c r="V63" s="1" t="str">
        <f ca="1">IF(OR($A63=0,$A63="S",$A63&gt;CFF!$A$9),"",MAX(V$12:OFFSET(V63,-1,0))+1)</f>
        <v/>
      </c>
      <c r="W63" s="4" t="str">
        <f t="shared" si="13"/>
        <v>SICRO-4011211</v>
      </c>
      <c r="X63" s="1" t="e">
        <f t="shared" ca="1" si="14"/>
        <v>#N/A</v>
      </c>
      <c r="Y63" s="103">
        <v>14.47</v>
      </c>
      <c r="Z63" s="113">
        <f ca="1">ROUND(IF(ISNUMBER(R63),R63,IF(LEFT(R63,3)="BDI",HLOOKUP(R63,DADOS!$T$37:$X$38,2,FALSE),0)),15-11*$X$5)</f>
        <v>0.24</v>
      </c>
      <c r="AA63" s="1"/>
    </row>
    <row r="64" spans="1:27" x14ac:dyDescent="0.25">
      <c r="A64" t="str">
        <f t="shared" si="32"/>
        <v>S</v>
      </c>
      <c r="B64">
        <f t="shared" si="33"/>
        <v>0</v>
      </c>
      <c r="C64">
        <f t="shared" ca="1" si="2"/>
        <v>4</v>
      </c>
      <c r="D64">
        <f t="shared" ca="1" si="3"/>
        <v>1</v>
      </c>
      <c r="E64">
        <f t="shared" ca="1" si="4"/>
        <v>0</v>
      </c>
      <c r="F64">
        <f t="shared" ca="1" si="5"/>
        <v>0</v>
      </c>
      <c r="G64">
        <f t="shared" ca="1" si="6"/>
        <v>4</v>
      </c>
      <c r="H64">
        <f t="shared" ca="1" si="21"/>
        <v>0</v>
      </c>
      <c r="I64">
        <f t="shared" ca="1" si="22"/>
        <v>0</v>
      </c>
      <c r="J64" s="354" t="s">
        <v>103</v>
      </c>
      <c r="K64" s="138" t="str">
        <f t="shared" ca="1" si="34"/>
        <v>4.1.0.4.</v>
      </c>
      <c r="L64" s="355" t="s">
        <v>237</v>
      </c>
      <c r="M64" s="355" t="s">
        <v>244</v>
      </c>
      <c r="N64" s="356" t="s">
        <v>243</v>
      </c>
      <c r="O64" s="357" t="s">
        <v>238</v>
      </c>
      <c r="P64" s="358">
        <f>P61*0.25*7</f>
        <v>420</v>
      </c>
      <c r="Q64" s="195"/>
      <c r="R64" s="198" t="s">
        <v>7</v>
      </c>
      <c r="S64" s="103">
        <f t="shared" si="10"/>
        <v>0</v>
      </c>
      <c r="T64" s="83">
        <f t="shared" si="11"/>
        <v>0</v>
      </c>
      <c r="U64" s="9" t="str">
        <f t="shared" si="12"/>
        <v>SEM VALOR</v>
      </c>
      <c r="V64" s="1" t="str">
        <f ca="1">IF(OR($A64=0,$A64="S",$A64&gt;CFF!$A$9),"",MAX(V$12:OFFSET(V64,-1,0))+1)</f>
        <v/>
      </c>
      <c r="W64" s="4" t="str">
        <f t="shared" si="13"/>
        <v>SICRO-4011276</v>
      </c>
      <c r="X64" s="1" t="e">
        <f t="shared" ca="1" si="14"/>
        <v>#N/A</v>
      </c>
      <c r="Y64" s="103">
        <v>235.61</v>
      </c>
      <c r="Z64" s="113">
        <f ca="1">ROUND(IF(ISNUMBER(R64),R64,IF(LEFT(R64,3)="BDI",HLOOKUP(R64,DADOS!$T$37:$X$38,2,FALSE),0)),15-11*$X$5)</f>
        <v>0.24</v>
      </c>
      <c r="AA64" s="1"/>
    </row>
    <row r="65" spans="1:27" x14ac:dyDescent="0.25">
      <c r="A65" t="str">
        <f t="shared" si="32"/>
        <v>S</v>
      </c>
      <c r="B65">
        <f t="shared" si="33"/>
        <v>0</v>
      </c>
      <c r="C65">
        <f t="shared" ca="1" si="2"/>
        <v>4</v>
      </c>
      <c r="D65">
        <f t="shared" ca="1" si="3"/>
        <v>1</v>
      </c>
      <c r="E65">
        <f t="shared" ca="1" si="4"/>
        <v>0</v>
      </c>
      <c r="F65">
        <f t="shared" ca="1" si="5"/>
        <v>0</v>
      </c>
      <c r="G65">
        <f t="shared" ca="1" si="6"/>
        <v>5</v>
      </c>
      <c r="H65">
        <f t="shared" ca="1" si="21"/>
        <v>0</v>
      </c>
      <c r="I65">
        <f t="shared" ca="1" si="22"/>
        <v>0</v>
      </c>
      <c r="J65" s="354" t="s">
        <v>103</v>
      </c>
      <c r="K65" s="138" t="str">
        <f t="shared" ca="1" si="34"/>
        <v>4.1.0.5.</v>
      </c>
      <c r="L65" s="355" t="s">
        <v>237</v>
      </c>
      <c r="M65" s="355" t="s">
        <v>241</v>
      </c>
      <c r="N65" s="356" t="s">
        <v>272</v>
      </c>
      <c r="O65" s="357" t="s">
        <v>242</v>
      </c>
      <c r="P65" s="358">
        <f>((P63+P64)*1.8)*30</f>
        <v>45360</v>
      </c>
      <c r="Q65" s="195"/>
      <c r="R65" s="198" t="s">
        <v>7</v>
      </c>
      <c r="S65" s="103">
        <f t="shared" si="10"/>
        <v>0</v>
      </c>
      <c r="T65" s="83">
        <f t="shared" si="11"/>
        <v>0</v>
      </c>
      <c r="U65" s="9" t="str">
        <f t="shared" si="12"/>
        <v>SEM VALOR</v>
      </c>
      <c r="V65" s="1" t="str">
        <f ca="1">IF(OR($A65=0,$A65="S",$A65&gt;CFF!$A$9),"",MAX(V$12:OFFSET(V65,-1,0))+1)</f>
        <v/>
      </c>
      <c r="W65" s="4" t="str">
        <f t="shared" si="13"/>
        <v>SICRO-5914389</v>
      </c>
      <c r="X65" s="1" t="e">
        <f t="shared" ca="1" si="14"/>
        <v>#N/A</v>
      </c>
      <c r="Y65" s="103">
        <v>1</v>
      </c>
      <c r="Z65" s="113">
        <f ca="1">ROUND(IF(ISNUMBER(R65),R65,IF(LEFT(R65,3)="BDI",HLOOKUP(R65,DADOS!$T$37:$X$38,2,FALSE),0)),15-11*$X$5)</f>
        <v>0.24</v>
      </c>
      <c r="AA65" s="1"/>
    </row>
    <row r="66" spans="1:27" x14ac:dyDescent="0.25">
      <c r="A66">
        <f t="shared" si="32"/>
        <v>2</v>
      </c>
      <c r="B66">
        <f t="shared" ca="1" si="33"/>
        <v>11</v>
      </c>
      <c r="C66">
        <f t="shared" ca="1" si="2"/>
        <v>4</v>
      </c>
      <c r="D66">
        <f t="shared" ca="1" si="3"/>
        <v>2</v>
      </c>
      <c r="E66">
        <f t="shared" ca="1" si="4"/>
        <v>0</v>
      </c>
      <c r="F66">
        <f t="shared" ca="1" si="5"/>
        <v>0</v>
      </c>
      <c r="G66">
        <f t="shared" ca="1" si="6"/>
        <v>0</v>
      </c>
      <c r="H66">
        <f t="shared" ca="1" si="21"/>
        <v>14</v>
      </c>
      <c r="I66">
        <f t="shared" ca="1" si="22"/>
        <v>11</v>
      </c>
      <c r="J66" s="354" t="s">
        <v>100</v>
      </c>
      <c r="K66" s="138" t="str">
        <f t="shared" ca="1" si="34"/>
        <v>4.2.</v>
      </c>
      <c r="L66" s="355"/>
      <c r="M66" s="355"/>
      <c r="N66" s="356" t="s">
        <v>259</v>
      </c>
      <c r="O66" s="357" t="s">
        <v>106</v>
      </c>
      <c r="P66" s="358"/>
      <c r="Q66" s="195"/>
      <c r="R66" s="198" t="s">
        <v>7</v>
      </c>
      <c r="S66" s="103">
        <f t="shared" si="10"/>
        <v>0</v>
      </c>
      <c r="T66" s="83">
        <f t="shared" ca="1" si="11"/>
        <v>0</v>
      </c>
      <c r="U66" s="9" t="str">
        <f t="shared" ca="1" si="12"/>
        <v>SEM VALOR</v>
      </c>
      <c r="V66" s="1">
        <f ca="1">IF(OR($A66=0,$A66="S",$A66&gt;CFF!$A$9),"",MAX(V$12:OFFSET(V66,-1,0))+1)</f>
        <v>12</v>
      </c>
      <c r="W66" s="4" t="b">
        <f t="shared" si="13"/>
        <v>0</v>
      </c>
      <c r="X66" s="1" t="str">
        <f t="shared" ca="1" si="14"/>
        <v>X</v>
      </c>
      <c r="Y66" s="103">
        <v>0</v>
      </c>
      <c r="Z66" s="113">
        <f ca="1">ROUND(IF(ISNUMBER(R66),R66,IF(LEFT(R66,3)="BDI",HLOOKUP(R66,DADOS!$T$37:$X$38,2,FALSE),0)),15-11*$X$5)</f>
        <v>0.24</v>
      </c>
      <c r="AA66" s="1"/>
    </row>
    <row r="67" spans="1:27" x14ac:dyDescent="0.25">
      <c r="A67" t="str">
        <f t="shared" si="32"/>
        <v>S</v>
      </c>
      <c r="B67">
        <f t="shared" si="33"/>
        <v>0</v>
      </c>
      <c r="C67">
        <f t="shared" ca="1" si="2"/>
        <v>4</v>
      </c>
      <c r="D67">
        <f t="shared" ca="1" si="3"/>
        <v>2</v>
      </c>
      <c r="E67">
        <f t="shared" ca="1" si="4"/>
        <v>0</v>
      </c>
      <c r="F67">
        <f t="shared" ca="1" si="5"/>
        <v>0</v>
      </c>
      <c r="G67">
        <f t="shared" ca="1" si="6"/>
        <v>1</v>
      </c>
      <c r="H67">
        <f t="shared" ca="1" si="21"/>
        <v>0</v>
      </c>
      <c r="I67">
        <f t="shared" ca="1" si="22"/>
        <v>0</v>
      </c>
      <c r="J67" s="354" t="s">
        <v>103</v>
      </c>
      <c r="K67" s="138" t="str">
        <f t="shared" ca="1" si="34"/>
        <v>4.2.0.1.</v>
      </c>
      <c r="L67" s="355" t="s">
        <v>237</v>
      </c>
      <c r="M67" s="355" t="s">
        <v>245</v>
      </c>
      <c r="N67" s="356" t="s">
        <v>246</v>
      </c>
      <c r="O67" s="357" t="s">
        <v>248</v>
      </c>
      <c r="P67" s="358">
        <f>P61*7</f>
        <v>1680</v>
      </c>
      <c r="Q67" s="195"/>
      <c r="R67" s="198" t="s">
        <v>7</v>
      </c>
      <c r="S67" s="103">
        <f t="shared" si="10"/>
        <v>0</v>
      </c>
      <c r="T67" s="83">
        <f t="shared" si="11"/>
        <v>0</v>
      </c>
      <c r="U67" s="9" t="str">
        <f t="shared" si="12"/>
        <v>SEM VALOR</v>
      </c>
      <c r="V67" s="1" t="str">
        <f ca="1">IF(OR($A67=0,$A67="S",$A67&gt;CFF!$A$9),"",MAX(V$12:OFFSET(V67,-1,0))+1)</f>
        <v/>
      </c>
      <c r="W67" s="4" t="str">
        <f t="shared" si="13"/>
        <v>SICRO-4011352</v>
      </c>
      <c r="X67" s="1" t="e">
        <f t="shared" ca="1" si="14"/>
        <v>#N/A</v>
      </c>
      <c r="Y67" s="103">
        <v>0.51</v>
      </c>
      <c r="Z67" s="113">
        <f ca="1">ROUND(IF(ISNUMBER(R67),R67,IF(LEFT(R67,3)="BDI",HLOOKUP(R67,DADOS!$T$37:$X$38,2,FALSE),0)),15-11*$X$5)</f>
        <v>0.24</v>
      </c>
      <c r="AA67" s="1"/>
    </row>
    <row r="68" spans="1:27" x14ac:dyDescent="0.25">
      <c r="A68" t="str">
        <f>CHOOSE(1+LOG(1+2*(J68="Meta")+4*(J68="Nível 2")+8*(J68="Nível 3")+16*(J68="Nível 4")+32*(J68="Serviço"),2),0,1,2,3,4,"S")</f>
        <v>S</v>
      </c>
      <c r="B68">
        <f>IF(OR(A68="S",A68=0),0,IF(ISERROR(I68),H68,SMALL(H68:I68,1)))</f>
        <v>0</v>
      </c>
      <c r="C68">
        <f ca="1">IF($A68=1,OFFSET(C68,-1,0)+1,OFFSET(C68,-1,0))</f>
        <v>4</v>
      </c>
      <c r="D68">
        <f ca="1">IF($A68=1,0,IF($A68=2,OFFSET(D68,-1,0)+1,OFFSET(D68,-1,0)))</f>
        <v>2</v>
      </c>
      <c r="E68">
        <f ca="1">IF(AND($A68&lt;=2,$A68&lt;&gt;0),0,IF($A68=3,OFFSET(E68,-1,0)+1,OFFSET(E68,-1,0)))</f>
        <v>0</v>
      </c>
      <c r="F68">
        <f ca="1">IF(AND($A68&lt;=3,$A68&lt;&gt;0),0,IF($A68=4,OFFSET(F68,-1,0)+1,OFFSET(F68,-1,0)))</f>
        <v>0</v>
      </c>
      <c r="G68">
        <f ca="1">IF(AND($A68&lt;=4,$A68&lt;&gt;0),0,IF($A68="S",OFFSET(G68,-1,0)+1,OFFSET(G68,-1,0)))</f>
        <v>2</v>
      </c>
      <c r="H68">
        <f t="shared" ca="1" si="21"/>
        <v>0</v>
      </c>
      <c r="I68">
        <f t="shared" ca="1" si="22"/>
        <v>0</v>
      </c>
      <c r="J68" s="354" t="s">
        <v>103</v>
      </c>
      <c r="K68" s="138" t="str">
        <f ca="1">IF($A68=0,"-",CONCATENATE(C68&amp;".",IF(AND($A$5&gt;=2,$A68&gt;=2),D68&amp;".",""),IF(AND($A$5&gt;=3,$A68&gt;=3),E68&amp;".",""),IF(AND($A$5&gt;=4,$A68&gt;=4),F68&amp;".",""),IF($A68="S",G68&amp;".","")))</f>
        <v>4.2.0.2.</v>
      </c>
      <c r="L68" s="355" t="s">
        <v>237</v>
      </c>
      <c r="M68" s="355" t="s">
        <v>260</v>
      </c>
      <c r="N68" s="356" t="s">
        <v>277</v>
      </c>
      <c r="O68" s="357" t="s">
        <v>248</v>
      </c>
      <c r="P68" s="358">
        <f>P67</f>
        <v>1680</v>
      </c>
      <c r="Q68" s="195"/>
      <c r="R68" s="198" t="s">
        <v>7</v>
      </c>
      <c r="S68" s="103">
        <f>IF($A68="S",IF($Q$10="Preço Unitário (R$)",PO.CustoUnitario,ROUND(PO.CustoUnitario*(1+$Z68),15-13*$X$6)),0)</f>
        <v>0</v>
      </c>
      <c r="T68" s="83">
        <f>IF($A68="S",VTOTAL1,IF($A68=0,0,ROUND(SomaAgrup,15-13*$X$7)))</f>
        <v>0</v>
      </c>
      <c r="U68" s="9" t="str">
        <f>IF($J68="","",IF($N68="","DESCRIÇÃO",IF(AND($J68="Serviço",$O68=""),"UNIDADE",IF($T68&lt;=0,"SEM VALOR",IF(AND($Y68&lt;&gt;"",$Q68&gt;$Y68),"ACIMA REF.","")))))</f>
        <v>SEM VALOR</v>
      </c>
      <c r="V68" s="1" t="str">
        <f ca="1">IF(OR($A68=0,$A68="S",$A68&gt;CFF!$A$9),"",MAX(V$12:OFFSET(V68,-1,0))+1)</f>
        <v/>
      </c>
      <c r="W68" s="4" t="str">
        <f>IF(AND($J68="Serviço",$M68&lt;&gt;""),IF($L68="",$M68,CONCATENATE($L68,"-",$M68)))</f>
        <v>SICRO-4011353</v>
      </c>
      <c r="X68" s="1" t="e">
        <f ca="1">IF(AND(Fonte&lt;&gt;"",Código&lt;&gt;""),MATCH(Fonte&amp;" "&amp;IF(Fonte="sinapi",SUBSTITUTE(SUBSTITUTE(Código,"/00","/"),"/0","/"),Código),INDIRECT("'[Referência "&amp;_xlnm.Database&amp;".xls]Banco'!$a:$a"),0),"X")</f>
        <v>#N/A</v>
      </c>
      <c r="Y68" s="103">
        <v>0.35</v>
      </c>
      <c r="Z68" s="113">
        <f ca="1">ROUND(IF(ISNUMBER(R68),R68,IF(LEFT(R68,3)="BDI",HLOOKUP(R68,DADOS!$T$37:$X$38,2,FALSE),0)),15-11*$X$5)</f>
        <v>0.24</v>
      </c>
      <c r="AA68" s="1"/>
    </row>
    <row r="69" spans="1:27" x14ac:dyDescent="0.25">
      <c r="A69" t="str">
        <f t="shared" ref="A69:A73" si="35">CHOOSE(1+LOG(1+2*(J69="Meta")+4*(J69="Nível 2")+8*(J69="Nível 3")+16*(J69="Nível 4")+32*(J69="Serviço"),2),0,1,2,3,4,"S")</f>
        <v>S</v>
      </c>
      <c r="B69">
        <f t="shared" ref="B69:B73" si="36">IF(OR(A69="S",A69=0),0,IF(ISERROR(I69),H69,SMALL(H69:I69,1)))</f>
        <v>0</v>
      </c>
      <c r="C69">
        <f t="shared" ca="1" si="2"/>
        <v>4</v>
      </c>
      <c r="D69">
        <f t="shared" ca="1" si="3"/>
        <v>2</v>
      </c>
      <c r="E69">
        <f t="shared" ca="1" si="4"/>
        <v>0</v>
      </c>
      <c r="F69">
        <f t="shared" ca="1" si="5"/>
        <v>0</v>
      </c>
      <c r="G69">
        <f t="shared" ca="1" si="6"/>
        <v>3</v>
      </c>
      <c r="H69">
        <f t="shared" ca="1" si="21"/>
        <v>0</v>
      </c>
      <c r="I69">
        <f t="shared" ca="1" si="22"/>
        <v>0</v>
      </c>
      <c r="J69" s="354" t="s">
        <v>103</v>
      </c>
      <c r="K69" s="138" t="str">
        <f t="shared" ref="K69:K73" ca="1" si="37">IF($A69=0,"-",CONCATENATE(C69&amp;".",IF(AND($A$5&gt;=2,$A69&gt;=2),D69&amp;".",""),IF(AND($A$5&gt;=3,$A69&gt;=3),E69&amp;".",""),IF(AND($A$5&gt;=4,$A69&gt;=4),F69&amp;".",""),IF($A69="S",G69&amp;".","")))</f>
        <v>4.2.0.3.</v>
      </c>
      <c r="L69" s="355" t="s">
        <v>237</v>
      </c>
      <c r="M69" s="355" t="s">
        <v>261</v>
      </c>
      <c r="N69" s="356" t="s">
        <v>286</v>
      </c>
      <c r="O69" s="357" t="s">
        <v>249</v>
      </c>
      <c r="P69" s="358">
        <f>P61*7*0.125</f>
        <v>210</v>
      </c>
      <c r="Q69" s="195"/>
      <c r="R69" s="198" t="s">
        <v>7</v>
      </c>
      <c r="S69" s="103">
        <f t="shared" si="10"/>
        <v>0</v>
      </c>
      <c r="T69" s="83">
        <f t="shared" si="11"/>
        <v>0</v>
      </c>
      <c r="U69" s="9" t="str">
        <f t="shared" si="12"/>
        <v>SEM VALOR</v>
      </c>
      <c r="V69" s="1" t="str">
        <f ca="1">IF(OR($A69=0,$A69="S",$A69&gt;CFF!$A$9),"",MAX(V$12:OFFSET(V69,-1,0))+1)</f>
        <v/>
      </c>
      <c r="W69" s="4" t="str">
        <f t="shared" si="13"/>
        <v>SICRO-4011463</v>
      </c>
      <c r="X69" s="1" t="e">
        <f t="shared" ca="1" si="14"/>
        <v>#N/A</v>
      </c>
      <c r="Y69" s="103">
        <v>228.05</v>
      </c>
      <c r="Z69" s="113">
        <f ca="1">ROUND(IF(ISNUMBER(R69),R69,IF(LEFT(R69,3)="BDI",HLOOKUP(R69,DADOS!$T$37:$X$38,2,FALSE),0)),15-11*$X$5)</f>
        <v>0.24</v>
      </c>
      <c r="AA69" s="1"/>
    </row>
    <row r="70" spans="1:27" x14ac:dyDescent="0.25">
      <c r="A70" t="str">
        <f t="shared" si="35"/>
        <v>S</v>
      </c>
      <c r="B70">
        <f t="shared" si="36"/>
        <v>0</v>
      </c>
      <c r="C70">
        <f t="shared" ca="1" si="2"/>
        <v>4</v>
      </c>
      <c r="D70">
        <f t="shared" ca="1" si="3"/>
        <v>2</v>
      </c>
      <c r="E70">
        <f t="shared" ca="1" si="4"/>
        <v>0</v>
      </c>
      <c r="F70">
        <f t="shared" ca="1" si="5"/>
        <v>0</v>
      </c>
      <c r="G70">
        <f t="shared" ca="1" si="6"/>
        <v>4</v>
      </c>
      <c r="H70">
        <f t="shared" ca="1" si="21"/>
        <v>0</v>
      </c>
      <c r="I70">
        <f t="shared" ca="1" si="22"/>
        <v>0</v>
      </c>
      <c r="J70" s="354" t="s">
        <v>103</v>
      </c>
      <c r="K70" s="138" t="str">
        <f t="shared" ca="1" si="37"/>
        <v>4.2.0.4.</v>
      </c>
      <c r="L70" s="355" t="s">
        <v>262</v>
      </c>
      <c r="M70" s="355" t="s">
        <v>263</v>
      </c>
      <c r="N70" s="356" t="s">
        <v>264</v>
      </c>
      <c r="O70" s="357" t="s">
        <v>249</v>
      </c>
      <c r="P70" s="358">
        <f>P67*0.0013</f>
        <v>2.1839999999999997</v>
      </c>
      <c r="Q70" s="195"/>
      <c r="R70" s="198" t="s">
        <v>7</v>
      </c>
      <c r="S70" s="103">
        <f t="shared" si="10"/>
        <v>0</v>
      </c>
      <c r="T70" s="83">
        <f t="shared" si="11"/>
        <v>0</v>
      </c>
      <c r="U70" s="9" t="str">
        <f t="shared" si="12"/>
        <v>SEM VALOR</v>
      </c>
      <c r="V70" s="1" t="str">
        <f ca="1">IF(OR($A70=0,$A70="S",$A70&gt;CFF!$A$9),"",MAX(V$12:OFFSET(V70,-1,0))+1)</f>
        <v/>
      </c>
      <c r="W70" s="4" t="str">
        <f t="shared" si="13"/>
        <v>ANP-INSUMO</v>
      </c>
      <c r="X70" s="1" t="e">
        <f t="shared" ca="1" si="14"/>
        <v>#N/A</v>
      </c>
      <c r="Y70" s="103">
        <v>3404.41</v>
      </c>
      <c r="Z70" s="113">
        <f ca="1">ROUND(IF(ISNUMBER(R70),R70,IF(LEFT(R70,3)="BDI",HLOOKUP(R70,DADOS!$T$37:$X$38,2,FALSE),0)),15-11*$X$5)</f>
        <v>0.24</v>
      </c>
      <c r="AA70" s="1"/>
    </row>
    <row r="71" spans="1:27" x14ac:dyDescent="0.25">
      <c r="A71" t="str">
        <f t="shared" si="35"/>
        <v>S</v>
      </c>
      <c r="B71">
        <f t="shared" si="36"/>
        <v>0</v>
      </c>
      <c r="C71">
        <f t="shared" ca="1" si="2"/>
        <v>4</v>
      </c>
      <c r="D71">
        <f t="shared" ca="1" si="3"/>
        <v>2</v>
      </c>
      <c r="E71">
        <f t="shared" ca="1" si="4"/>
        <v>0</v>
      </c>
      <c r="F71">
        <f t="shared" ca="1" si="5"/>
        <v>0</v>
      </c>
      <c r="G71">
        <f t="shared" ca="1" si="6"/>
        <v>5</v>
      </c>
      <c r="H71">
        <f t="shared" ca="1" si="21"/>
        <v>0</v>
      </c>
      <c r="I71">
        <f t="shared" ca="1" si="22"/>
        <v>0</v>
      </c>
      <c r="J71" s="354" t="s">
        <v>103</v>
      </c>
      <c r="K71" s="138" t="str">
        <f t="shared" ca="1" si="37"/>
        <v>4.2.0.5.</v>
      </c>
      <c r="L71" s="355" t="s">
        <v>262</v>
      </c>
      <c r="M71" s="355" t="s">
        <v>263</v>
      </c>
      <c r="N71" s="356" t="s">
        <v>265</v>
      </c>
      <c r="O71" s="357" t="s">
        <v>249</v>
      </c>
      <c r="P71" s="358">
        <f>P67*0.0009</f>
        <v>1.512</v>
      </c>
      <c r="Q71" s="195"/>
      <c r="R71" s="198" t="s">
        <v>7</v>
      </c>
      <c r="S71" s="103">
        <f t="shared" si="10"/>
        <v>0</v>
      </c>
      <c r="T71" s="83">
        <f t="shared" si="11"/>
        <v>0</v>
      </c>
      <c r="U71" s="9" t="str">
        <f t="shared" si="12"/>
        <v>SEM VALOR</v>
      </c>
      <c r="V71" s="1" t="str">
        <f ca="1">IF(OR($A71=0,$A71="S",$A71&gt;CFF!$A$9),"",MAX(V$12:OFFSET(V71,-1,0))+1)</f>
        <v/>
      </c>
      <c r="W71" s="4" t="str">
        <f t="shared" si="13"/>
        <v>ANP-INSUMO</v>
      </c>
      <c r="X71" s="1" t="e">
        <f t="shared" ca="1" si="14"/>
        <v>#N/A</v>
      </c>
      <c r="Y71" s="103">
        <v>3202.6</v>
      </c>
      <c r="Z71" s="113">
        <f ca="1">ROUND(IF(ISNUMBER(R71),R71,IF(LEFT(R71,3)="BDI",HLOOKUP(R71,DADOS!$T$37:$X$38,2,FALSE),0)),15-11*$X$5)</f>
        <v>0.24</v>
      </c>
      <c r="AA71" s="1"/>
    </row>
    <row r="72" spans="1:27" x14ac:dyDescent="0.25">
      <c r="A72" t="str">
        <f t="shared" si="35"/>
        <v>S</v>
      </c>
      <c r="B72">
        <f t="shared" si="36"/>
        <v>0</v>
      </c>
      <c r="C72">
        <f t="shared" ca="1" si="2"/>
        <v>4</v>
      </c>
      <c r="D72">
        <f t="shared" ca="1" si="3"/>
        <v>2</v>
      </c>
      <c r="E72">
        <f t="shared" ca="1" si="4"/>
        <v>0</v>
      </c>
      <c r="F72">
        <f t="shared" ca="1" si="5"/>
        <v>0</v>
      </c>
      <c r="G72">
        <f t="shared" ca="1" si="6"/>
        <v>6</v>
      </c>
      <c r="H72">
        <f t="shared" ca="1" si="21"/>
        <v>0</v>
      </c>
      <c r="I72">
        <f t="shared" ca="1" si="22"/>
        <v>0</v>
      </c>
      <c r="J72" s="354" t="s">
        <v>103</v>
      </c>
      <c r="K72" s="138" t="str">
        <f t="shared" ca="1" si="37"/>
        <v>4.2.0.6.</v>
      </c>
      <c r="L72" s="355" t="s">
        <v>262</v>
      </c>
      <c r="M72" s="355" t="s">
        <v>263</v>
      </c>
      <c r="N72" s="356" t="s">
        <v>266</v>
      </c>
      <c r="O72" s="357" t="s">
        <v>249</v>
      </c>
      <c r="P72" s="358">
        <f>P67*0.0109</f>
        <v>18.312000000000001</v>
      </c>
      <c r="Q72" s="195"/>
      <c r="R72" s="198" t="s">
        <v>7</v>
      </c>
      <c r="S72" s="103">
        <f t="shared" si="10"/>
        <v>0</v>
      </c>
      <c r="T72" s="83">
        <f t="shared" si="11"/>
        <v>0</v>
      </c>
      <c r="U72" s="9" t="str">
        <f t="shared" si="12"/>
        <v>SEM VALOR</v>
      </c>
      <c r="V72" s="1" t="str">
        <f ca="1">IF(OR($A72=0,$A72="S",$A72&gt;CFF!$A$9),"",MAX(V$12:OFFSET(V72,-1,0))+1)</f>
        <v/>
      </c>
      <c r="W72" s="4" t="str">
        <f t="shared" si="13"/>
        <v>ANP-INSUMO</v>
      </c>
      <c r="X72" s="1" t="e">
        <f t="shared" ca="1" si="14"/>
        <v>#N/A</v>
      </c>
      <c r="Y72" s="103">
        <v>4697.6400000000003</v>
      </c>
      <c r="Z72" s="113">
        <f ca="1">ROUND(IF(ISNUMBER(R72),R72,IF(LEFT(R72,3)="BDI",HLOOKUP(R72,DADOS!$T$37:$X$38,2,FALSE),0)),15-11*$X$5)</f>
        <v>0.24</v>
      </c>
      <c r="AA72" s="1"/>
    </row>
    <row r="73" spans="1:27" x14ac:dyDescent="0.25">
      <c r="A73">
        <f t="shared" si="35"/>
        <v>3</v>
      </c>
      <c r="B73">
        <f t="shared" ca="1" si="36"/>
        <v>4</v>
      </c>
      <c r="C73">
        <f t="shared" ca="1" si="2"/>
        <v>4</v>
      </c>
      <c r="D73">
        <f t="shared" ca="1" si="3"/>
        <v>2</v>
      </c>
      <c r="E73">
        <f t="shared" ca="1" si="4"/>
        <v>1</v>
      </c>
      <c r="F73">
        <f t="shared" ca="1" si="5"/>
        <v>0</v>
      </c>
      <c r="G73">
        <f t="shared" ca="1" si="6"/>
        <v>0</v>
      </c>
      <c r="H73">
        <f t="shared" ca="1" si="21"/>
        <v>4</v>
      </c>
      <c r="I73" t="e">
        <f t="shared" ca="1" si="22"/>
        <v>#N/A</v>
      </c>
      <c r="J73" s="354" t="s">
        <v>101</v>
      </c>
      <c r="K73" s="138" t="str">
        <f t="shared" ca="1" si="37"/>
        <v>4.2.1.</v>
      </c>
      <c r="L73" s="355"/>
      <c r="M73" s="355"/>
      <c r="N73" s="356" t="s">
        <v>267</v>
      </c>
      <c r="O73" s="357" t="s">
        <v>106</v>
      </c>
      <c r="P73" s="358"/>
      <c r="Q73" s="195"/>
      <c r="R73" s="198" t="s">
        <v>7</v>
      </c>
      <c r="S73" s="103">
        <f t="shared" si="10"/>
        <v>0</v>
      </c>
      <c r="T73" s="83">
        <f t="shared" ca="1" si="11"/>
        <v>0</v>
      </c>
      <c r="U73" s="9" t="str">
        <f t="shared" ca="1" si="12"/>
        <v>SEM VALOR</v>
      </c>
      <c r="V73" s="1" t="str">
        <f ca="1">IF(OR($A73=0,$A73="S",$A73&gt;CFF!$A$9),"",MAX(V$12:OFFSET(V73,-1,0))+1)</f>
        <v/>
      </c>
      <c r="W73" s="4" t="b">
        <f t="shared" si="13"/>
        <v>0</v>
      </c>
      <c r="X73" s="1" t="str">
        <f t="shared" ca="1" si="14"/>
        <v>X</v>
      </c>
      <c r="Y73" s="103">
        <v>0</v>
      </c>
      <c r="Z73" s="113">
        <f ca="1">ROUND(IF(ISNUMBER(R73),R73,IF(LEFT(R73,3)="BDI",HLOOKUP(R73,DADOS!$T$37:$X$38,2,FALSE),0)),15-11*$X$5)</f>
        <v>0.24</v>
      </c>
      <c r="AA73" s="1"/>
    </row>
    <row r="74" spans="1:27" ht="26.4" x14ac:dyDescent="0.25">
      <c r="A74" t="str">
        <f>CHOOSE(1+LOG(1+2*(J74="Meta")+4*(J74="Nível 2")+8*(J74="Nível 3")+16*(J74="Nível 4")+32*(J74="Serviço"),2),0,1,2,3,4,"S")</f>
        <v>S</v>
      </c>
      <c r="B74">
        <f>IF(OR(A74="S",A74=0),0,IF(ISERROR(I74),H74,SMALL(H74:I74,1)))</f>
        <v>0</v>
      </c>
      <c r="C74">
        <f ca="1">IF($A74=1,OFFSET(C74,-1,0)+1,OFFSET(C74,-1,0))</f>
        <v>4</v>
      </c>
      <c r="D74">
        <f ca="1">IF($A74=1,0,IF($A74=2,OFFSET(D74,-1,0)+1,OFFSET(D74,-1,0)))</f>
        <v>2</v>
      </c>
      <c r="E74">
        <f ca="1">IF(AND($A74&lt;=2,$A74&lt;&gt;0),0,IF($A74=3,OFFSET(E74,-1,0)+1,OFFSET(E74,-1,0)))</f>
        <v>1</v>
      </c>
      <c r="F74">
        <f ca="1">IF(AND($A74&lt;=3,$A74&lt;&gt;0),0,IF($A74=4,OFFSET(F74,-1,0)+1,OFFSET(F74,-1,0)))</f>
        <v>0</v>
      </c>
      <c r="G74">
        <f ca="1">IF(AND($A74&lt;=4,$A74&lt;&gt;0),0,IF($A74="S",OFFSET(G74,-1,0)+1,OFFSET(G74,-1,0)))</f>
        <v>1</v>
      </c>
      <c r="H74">
        <f t="shared" ca="1" si="21"/>
        <v>0</v>
      </c>
      <c r="I74">
        <f t="shared" ca="1" si="22"/>
        <v>0</v>
      </c>
      <c r="J74" s="354" t="s">
        <v>103</v>
      </c>
      <c r="K74" s="138" t="str">
        <f ca="1">IF($A74=0,"-",CONCATENATE(C74&amp;".",IF(AND($A$5&gt;=2,$A74&gt;=2),D74&amp;".",""),IF(AND($A$5&gt;=3,$A74&gt;=3),E74&amp;".",""),IF(AND($A$5&gt;=4,$A74&gt;=4),F74&amp;".",""),IF($A74="S",G74&amp;".","")))</f>
        <v>4.2.1.1.</v>
      </c>
      <c r="L74" s="355" t="s">
        <v>237</v>
      </c>
      <c r="M74" s="355" t="s">
        <v>268</v>
      </c>
      <c r="N74" s="356" t="s">
        <v>269</v>
      </c>
      <c r="O74" s="357" t="s">
        <v>249</v>
      </c>
      <c r="P74" s="358">
        <f>P69</f>
        <v>210</v>
      </c>
      <c r="Q74" s="195"/>
      <c r="R74" s="198" t="s">
        <v>7</v>
      </c>
      <c r="S74" s="103">
        <f>IF($A74="S",IF($Q$10="Preço Unitário (R$)",PO.CustoUnitario,ROUND(PO.CustoUnitario*(1+$Z74),15-13*$X$6)),0)</f>
        <v>0</v>
      </c>
      <c r="T74" s="83">
        <f>IF($A74="S",VTOTAL1,IF($A74=0,0,ROUND(SomaAgrup,15-13*$X$7)))</f>
        <v>0</v>
      </c>
      <c r="U74" s="9" t="str">
        <f>IF($J74="","",IF($N74="","DESCRIÇÃO",IF(AND($J74="Serviço",$O74=""),"UNIDADE",IF($T74&lt;=0,"SEM VALOR",IF(AND($Y74&lt;&gt;"",$Q74&gt;$Y74),"ACIMA REF.","")))))</f>
        <v>SEM VALOR</v>
      </c>
      <c r="V74" s="1" t="str">
        <f ca="1">IF(OR($A74=0,$A74="S",$A74&gt;CFF!$A$9),"",MAX(V$12:OFFSET(V74,-1,0))+1)</f>
        <v/>
      </c>
      <c r="W74" s="4" t="str">
        <f>IF(AND($J74="Serviço",$M74&lt;&gt;""),IF($L74="",$M74,CONCATENATE($L74,"-",$M74)))</f>
        <v>SICRO-5914643</v>
      </c>
      <c r="X74" s="1" t="e">
        <f t="shared" ca="1" si="14"/>
        <v>#N/A</v>
      </c>
      <c r="Y74" s="103">
        <v>6.44</v>
      </c>
      <c r="Z74" s="113">
        <f ca="1">ROUND(IF(ISNUMBER(R74),R74,IF(LEFT(R74,3)="BDI",HLOOKUP(R74,DADOS!$T$37:$X$38,2,FALSE),0)),15-11*$X$5)</f>
        <v>0.24</v>
      </c>
      <c r="AA74" s="1"/>
    </row>
    <row r="75" spans="1:27" x14ac:dyDescent="0.25">
      <c r="A75" t="str">
        <f t="shared" ref="A75:A79" si="38">CHOOSE(1+LOG(1+2*(J75="Meta")+4*(J75="Nível 2")+8*(J75="Nível 3")+16*(J75="Nível 4")+32*(J75="Serviço"),2),0,1,2,3,4,"S")</f>
        <v>S</v>
      </c>
      <c r="B75">
        <f t="shared" ref="B75:B79" si="39">IF(OR(A75="S",A75=0),0,IF(ISERROR(I75),H75,SMALL(H75:I75,1)))</f>
        <v>0</v>
      </c>
      <c r="C75">
        <f t="shared" ca="1" si="2"/>
        <v>4</v>
      </c>
      <c r="D75">
        <f t="shared" ca="1" si="3"/>
        <v>2</v>
      </c>
      <c r="E75">
        <f t="shared" ca="1" si="4"/>
        <v>1</v>
      </c>
      <c r="F75">
        <f t="shared" ca="1" si="5"/>
        <v>0</v>
      </c>
      <c r="G75">
        <f t="shared" ca="1" si="6"/>
        <v>2</v>
      </c>
      <c r="H75">
        <f t="shared" ca="1" si="21"/>
        <v>0</v>
      </c>
      <c r="I75">
        <f t="shared" ca="1" si="22"/>
        <v>0</v>
      </c>
      <c r="J75" s="354" t="s">
        <v>103</v>
      </c>
      <c r="K75" s="138" t="str">
        <f t="shared" ref="K75:K79" ca="1" si="40">IF($A75=0,"-",CONCATENATE(C75&amp;".",IF(AND($A$5&gt;=2,$A75&gt;=2),D75&amp;".",""),IF(AND($A$5&gt;=3,$A75&gt;=3),E75&amp;".",""),IF(AND($A$5&gt;=4,$A75&gt;=4),F75&amp;".",""),IF($A75="S",G75&amp;".","")))</f>
        <v>4.2.1.2.</v>
      </c>
      <c r="L75" s="355" t="s">
        <v>237</v>
      </c>
      <c r="M75" s="355" t="s">
        <v>247</v>
      </c>
      <c r="N75" s="356" t="s">
        <v>270</v>
      </c>
      <c r="O75" s="357" t="s">
        <v>249</v>
      </c>
      <c r="P75" s="358">
        <f>P69*30</f>
        <v>6300</v>
      </c>
      <c r="Q75" s="195"/>
      <c r="R75" s="198" t="s">
        <v>7</v>
      </c>
      <c r="S75" s="103">
        <f t="shared" si="10"/>
        <v>0</v>
      </c>
      <c r="T75" s="83">
        <f t="shared" si="11"/>
        <v>0</v>
      </c>
      <c r="U75" s="9" t="str">
        <f t="shared" si="12"/>
        <v>SEM VALOR</v>
      </c>
      <c r="V75" s="1" t="str">
        <f ca="1">IF(OR($A75=0,$A75="S",$A75&gt;CFF!$A$9),"",MAX(V$12:OFFSET(V75,-1,0))+1)</f>
        <v/>
      </c>
      <c r="W75" s="4" t="str">
        <f t="shared" si="13"/>
        <v>SICRO-5914612</v>
      </c>
      <c r="X75" s="1" t="e">
        <f t="shared" ca="1" si="14"/>
        <v>#N/A</v>
      </c>
      <c r="Y75" s="103">
        <v>1.46</v>
      </c>
      <c r="Z75" s="113">
        <f ca="1">ROUND(IF(ISNUMBER(R75),R75,IF(LEFT(R75,3)="BDI",HLOOKUP(R75,DADOS!$T$37:$X$38,2,FALSE),0)),15-11*$X$5)</f>
        <v>0.24</v>
      </c>
      <c r="AA75" s="1"/>
    </row>
    <row r="76" spans="1:27" ht="26.4" x14ac:dyDescent="0.25">
      <c r="A76" t="str">
        <f t="shared" si="38"/>
        <v>S</v>
      </c>
      <c r="B76">
        <f t="shared" si="39"/>
        <v>0</v>
      </c>
      <c r="C76">
        <f t="shared" ca="1" si="2"/>
        <v>4</v>
      </c>
      <c r="D76">
        <f t="shared" ca="1" si="3"/>
        <v>2</v>
      </c>
      <c r="E76">
        <f t="shared" ca="1" si="4"/>
        <v>1</v>
      </c>
      <c r="F76">
        <f t="shared" ca="1" si="5"/>
        <v>0</v>
      </c>
      <c r="G76">
        <f t="shared" ca="1" si="6"/>
        <v>3</v>
      </c>
      <c r="H76">
        <f t="shared" ca="1" si="21"/>
        <v>0</v>
      </c>
      <c r="I76">
        <f t="shared" ca="1" si="22"/>
        <v>0</v>
      </c>
      <c r="J76" s="354" t="s">
        <v>103</v>
      </c>
      <c r="K76" s="138" t="str">
        <f t="shared" ca="1" si="40"/>
        <v>4.2.1.3.</v>
      </c>
      <c r="L76" s="355" t="s">
        <v>253</v>
      </c>
      <c r="M76" s="355" t="s">
        <v>271</v>
      </c>
      <c r="N76" s="356" t="s">
        <v>291</v>
      </c>
      <c r="O76" s="357" t="s">
        <v>297</v>
      </c>
      <c r="P76" s="358">
        <f>(P67+P68)*0.0036*30</f>
        <v>362.88</v>
      </c>
      <c r="Q76" s="195"/>
      <c r="R76" s="198" t="s">
        <v>7</v>
      </c>
      <c r="S76" s="103">
        <f t="shared" si="10"/>
        <v>0</v>
      </c>
      <c r="T76" s="83">
        <f t="shared" si="11"/>
        <v>0</v>
      </c>
      <c r="U76" s="9" t="str">
        <f t="shared" si="12"/>
        <v>SEM VALOR</v>
      </c>
      <c r="V76" s="1" t="str">
        <f ca="1">IF(OR($A76=0,$A76="S",$A76&gt;CFF!$A$9),"",MAX(V$12:OFFSET(V76,-1,0))+1)</f>
        <v/>
      </c>
      <c r="W76" s="4" t="str">
        <f t="shared" si="13"/>
        <v>SINAPI-102330</v>
      </c>
      <c r="X76" s="1">
        <f t="shared" ca="1" si="14"/>
        <v>7339</v>
      </c>
      <c r="Y76" s="103">
        <v>1.84</v>
      </c>
      <c r="Z76" s="113">
        <f ca="1">ROUND(IF(ISNUMBER(R76),R76,IF(LEFT(R76,3)="BDI",HLOOKUP(R76,DADOS!$T$37:$X$38,2,FALSE),0)),15-11*$X$5)</f>
        <v>0.24</v>
      </c>
      <c r="AA76" s="1"/>
    </row>
    <row r="77" spans="1:27" x14ac:dyDescent="0.25">
      <c r="A77">
        <f t="shared" si="38"/>
        <v>2</v>
      </c>
      <c r="B77">
        <f t="shared" ca="1" si="39"/>
        <v>3</v>
      </c>
      <c r="C77">
        <f t="shared" ca="1" si="2"/>
        <v>4</v>
      </c>
      <c r="D77">
        <f t="shared" ca="1" si="3"/>
        <v>3</v>
      </c>
      <c r="E77">
        <f t="shared" ca="1" si="4"/>
        <v>0</v>
      </c>
      <c r="F77">
        <f t="shared" ca="1" si="5"/>
        <v>0</v>
      </c>
      <c r="G77">
        <f t="shared" ca="1" si="6"/>
        <v>0</v>
      </c>
      <c r="H77">
        <f t="shared" ca="1" si="21"/>
        <v>3</v>
      </c>
      <c r="I77" t="e">
        <f t="shared" ca="1" si="22"/>
        <v>#N/A</v>
      </c>
      <c r="J77" s="354" t="s">
        <v>100</v>
      </c>
      <c r="K77" s="138" t="str">
        <f t="shared" ca="1" si="40"/>
        <v>4.3.</v>
      </c>
      <c r="L77" s="355" t="s">
        <v>237</v>
      </c>
      <c r="M77" s="355"/>
      <c r="N77" s="356" t="s">
        <v>273</v>
      </c>
      <c r="O77" s="357" t="s">
        <v>106</v>
      </c>
      <c r="P77" s="358"/>
      <c r="Q77" s="195"/>
      <c r="R77" s="198" t="s">
        <v>7</v>
      </c>
      <c r="S77" s="103">
        <f t="shared" si="10"/>
        <v>0</v>
      </c>
      <c r="T77" s="83">
        <f t="shared" ca="1" si="11"/>
        <v>0</v>
      </c>
      <c r="U77" s="9" t="str">
        <f t="shared" ca="1" si="12"/>
        <v>SEM VALOR</v>
      </c>
      <c r="V77" s="1">
        <f ca="1">IF(OR($A77=0,$A77="S",$A77&gt;CFF!$A$9),"",MAX(V$12:OFFSET(V77,-1,0))+1)</f>
        <v>13</v>
      </c>
      <c r="W77" s="4" t="b">
        <f t="shared" si="13"/>
        <v>0</v>
      </c>
      <c r="X77" s="1" t="str">
        <f t="shared" ca="1" si="14"/>
        <v>X</v>
      </c>
      <c r="Y77" s="103">
        <v>0</v>
      </c>
      <c r="Z77" s="113">
        <f ca="1">ROUND(IF(ISNUMBER(R77),R77,IF(LEFT(R77,3)="BDI",HLOOKUP(R77,DADOS!$T$37:$X$38,2,FALSE),0)),15-11*$X$5)</f>
        <v>0.24</v>
      </c>
      <c r="AA77" s="1"/>
    </row>
    <row r="78" spans="1:27" ht="26.4" x14ac:dyDescent="0.25">
      <c r="A78" t="str">
        <f t="shared" si="38"/>
        <v>S</v>
      </c>
      <c r="B78">
        <f t="shared" si="39"/>
        <v>0</v>
      </c>
      <c r="C78">
        <f t="shared" ca="1" si="2"/>
        <v>4</v>
      </c>
      <c r="D78">
        <f t="shared" ca="1" si="3"/>
        <v>3</v>
      </c>
      <c r="E78">
        <f t="shared" ca="1" si="4"/>
        <v>0</v>
      </c>
      <c r="F78">
        <f t="shared" ca="1" si="5"/>
        <v>0</v>
      </c>
      <c r="G78">
        <f t="shared" ca="1" si="6"/>
        <v>1</v>
      </c>
      <c r="H78">
        <f t="shared" ca="1" si="21"/>
        <v>0</v>
      </c>
      <c r="I78">
        <f t="shared" ca="1" si="22"/>
        <v>0</v>
      </c>
      <c r="J78" s="354" t="s">
        <v>103</v>
      </c>
      <c r="K78" s="138" t="str">
        <f t="shared" ca="1" si="40"/>
        <v>4.3.0.1.</v>
      </c>
      <c r="L78" s="355" t="s">
        <v>253</v>
      </c>
      <c r="M78" s="355" t="s">
        <v>274</v>
      </c>
      <c r="N78" s="356" t="s">
        <v>292</v>
      </c>
      <c r="O78" s="357" t="s">
        <v>298</v>
      </c>
      <c r="P78" s="358">
        <f>P61*3</f>
        <v>720</v>
      </c>
      <c r="Q78" s="195"/>
      <c r="R78" s="198" t="s">
        <v>7</v>
      </c>
      <c r="S78" s="103">
        <f t="shared" si="10"/>
        <v>0</v>
      </c>
      <c r="T78" s="83">
        <f t="shared" si="11"/>
        <v>0</v>
      </c>
      <c r="U78" s="9" t="str">
        <f t="shared" si="12"/>
        <v>SEM VALOR</v>
      </c>
      <c r="V78" s="1" t="str">
        <f ca="1">IF(OR($A78=0,$A78="S",$A78&gt;CFF!$A$9),"",MAX(V$12:OFFSET(V78,-1,0))+1)</f>
        <v/>
      </c>
      <c r="W78" s="4" t="str">
        <f t="shared" si="13"/>
        <v>SINAPI-102512</v>
      </c>
      <c r="X78" s="1">
        <f t="shared" ca="1" si="14"/>
        <v>6499</v>
      </c>
      <c r="Y78" s="103">
        <v>7.79</v>
      </c>
      <c r="Z78" s="113">
        <f ca="1">ROUND(IF(ISNUMBER(R78),R78,IF(LEFT(R78,3)="BDI",HLOOKUP(R78,DADOS!$T$37:$X$38,2,FALSE),0)),15-11*$X$5)</f>
        <v>0.24</v>
      </c>
      <c r="AA78" s="1"/>
    </row>
    <row r="79" spans="1:27" ht="26.4" x14ac:dyDescent="0.25">
      <c r="A79" t="str">
        <f t="shared" si="38"/>
        <v>S</v>
      </c>
      <c r="B79">
        <f t="shared" si="39"/>
        <v>0</v>
      </c>
      <c r="C79">
        <f t="shared" ca="1" si="2"/>
        <v>4</v>
      </c>
      <c r="D79">
        <f t="shared" ca="1" si="3"/>
        <v>3</v>
      </c>
      <c r="E79">
        <f t="shared" ca="1" si="4"/>
        <v>0</v>
      </c>
      <c r="F79">
        <f t="shared" ca="1" si="5"/>
        <v>0</v>
      </c>
      <c r="G79">
        <f t="shared" ca="1" si="6"/>
        <v>2</v>
      </c>
      <c r="H79">
        <f t="shared" ca="1" si="21"/>
        <v>0</v>
      </c>
      <c r="I79">
        <f t="shared" ca="1" si="22"/>
        <v>0</v>
      </c>
      <c r="J79" s="354" t="s">
        <v>103</v>
      </c>
      <c r="K79" s="138" t="str">
        <f t="shared" ca="1" si="40"/>
        <v>4.3.0.2.</v>
      </c>
      <c r="L79" s="355" t="s">
        <v>256</v>
      </c>
      <c r="M79" s="355" t="s">
        <v>275</v>
      </c>
      <c r="N79" s="356" t="s">
        <v>293</v>
      </c>
      <c r="O79" s="357" t="s">
        <v>299</v>
      </c>
      <c r="P79" s="358">
        <v>1</v>
      </c>
      <c r="Q79" s="195"/>
      <c r="R79" s="198" t="s">
        <v>7</v>
      </c>
      <c r="S79" s="103">
        <f t="shared" si="10"/>
        <v>0</v>
      </c>
      <c r="T79" s="83">
        <f t="shared" si="11"/>
        <v>0</v>
      </c>
      <c r="U79" s="9" t="str">
        <f t="shared" si="12"/>
        <v>SEM VALOR</v>
      </c>
      <c r="V79" s="1" t="str">
        <f ca="1">IF(OR($A79=0,$A79="S",$A79&gt;CFF!$A$9),"",MAX(V$12:OFFSET(V79,-1,0))+1)</f>
        <v/>
      </c>
      <c r="W79" s="4" t="str">
        <f t="shared" si="13"/>
        <v>PM BENTO-11</v>
      </c>
      <c r="X79" s="1">
        <f t="shared" ca="1" si="14"/>
        <v>16</v>
      </c>
      <c r="Y79" s="103">
        <v>829.11</v>
      </c>
      <c r="Z79" s="113">
        <f ca="1">ROUND(IF(ISNUMBER(R79),R79,IF(LEFT(R79,3)="BDI",HLOOKUP(R79,DADOS!$T$37:$X$38,2,FALSE),0)),15-11*$X$5)</f>
        <v>0.24</v>
      </c>
      <c r="AA79" s="1"/>
    </row>
    <row r="80" spans="1:27" x14ac:dyDescent="0.25">
      <c r="A80">
        <f>CHOOSE(1+LOG(1+2*(J80="Meta")+4*(J80="Nível 2")+8*(J80="Nível 3")+16*(J80="Nível 4")+32*(J80="Serviço"),2),0,1,2,3,4,"S")</f>
        <v>1</v>
      </c>
      <c r="B80">
        <f ca="1">IF(OR(A80="S",A80=0),0,IF(ISERROR(I80),H80,SMALL(H80:I80,1)))</f>
        <v>21</v>
      </c>
      <c r="C80">
        <f ca="1">IF($A80=1,OFFSET(C80,-1,0)+1,OFFSET(C80,-1,0))</f>
        <v>5</v>
      </c>
      <c r="D80">
        <f ca="1">IF($A80=1,0,IF($A80=2,OFFSET(D80,-1,0)+1,OFFSET(D80,-1,0)))</f>
        <v>0</v>
      </c>
      <c r="E80">
        <f ca="1">IF(AND($A80&lt;=2,$A80&lt;&gt;0),0,IF($A80=3,OFFSET(E80,-1,0)+1,OFFSET(E80,-1,0)))</f>
        <v>0</v>
      </c>
      <c r="F80">
        <f ca="1">IF(AND($A80&lt;=3,$A80&lt;&gt;0),0,IF($A80=4,OFFSET(F80,-1,0)+1,OFFSET(F80,-1,0)))</f>
        <v>0</v>
      </c>
      <c r="G80">
        <f ca="1">IF(AND($A80&lt;=4,$A80&lt;&gt;0),0,IF($A80="S",OFFSET(G80,-1,0)+1,OFFSET(G80,-1,0)))</f>
        <v>0</v>
      </c>
      <c r="H80">
        <f t="shared" ref="H80:H113" ca="1" si="41">IF(OR($A80="S",$A80=0),0,MATCH(0,OFFSET($B80,1,$A80,ROW($A$121)-ROW($A80)),0))</f>
        <v>41</v>
      </c>
      <c r="I80">
        <f t="shared" ref="I80:I113" ca="1" si="42">IF(OR($A80="S",$A80=0),0,MATCH(OFFSET($B80,0,$A80)+1,OFFSET($B80,1,$A80,ROW($A$121)-ROW($A80)),0))</f>
        <v>21</v>
      </c>
      <c r="J80" s="354" t="s">
        <v>99</v>
      </c>
      <c r="K80" s="138" t="str">
        <f ca="1">IF($A80=0,"-",CONCATENATE(C80&amp;".",IF(AND($A$5&gt;=2,$A80&gt;=2),D80&amp;".",""),IF(AND($A$5&gt;=3,$A80&gt;=3),E80&amp;".",""),IF(AND($A$5&gt;=4,$A80&gt;=4),F80&amp;".",""),IF($A80="S",G80&amp;".","")))</f>
        <v>5.</v>
      </c>
      <c r="L80" s="355"/>
      <c r="M80" s="355"/>
      <c r="N80" s="356" t="s">
        <v>280</v>
      </c>
      <c r="O80" s="357" t="s">
        <v>106</v>
      </c>
      <c r="P80" s="358"/>
      <c r="Q80" s="195"/>
      <c r="R80" s="198" t="s">
        <v>7</v>
      </c>
      <c r="S80" s="103">
        <f>IF($A80="S",IF($Q$10="Preço Unitário (R$)",PO.CustoUnitario,ROUND(PO.CustoUnitario*(1+$Z80),15-13*$X$6)),0)</f>
        <v>0</v>
      </c>
      <c r="T80" s="83">
        <f ca="1">IF($A80="S",VTOTAL1,IF($A80=0,0,ROUND(SomaAgrup,15-13*$X$7)))</f>
        <v>0</v>
      </c>
      <c r="U80" s="9" t="str">
        <f ca="1">IF($J80="","",IF($N80="","DESCRIÇÃO",IF(AND($J80="Serviço",$O80=""),"UNIDADE",IF($T80&lt;=0,"SEM VALOR",IF(AND($Y80&lt;&gt;"",$Q80&gt;$Y80),"ACIMA REF.","")))))</f>
        <v>SEM VALOR</v>
      </c>
      <c r="V80" s="1">
        <f ca="1">IF(OR($A80=0,$A80="S",$A80&gt;CFF!$A$9),"",MAX(V$12:OFFSET(V80,-1,0))+1)</f>
        <v>14</v>
      </c>
      <c r="W80" s="4" t="b">
        <f>IF(AND($J80="Serviço",$M80&lt;&gt;""),IF($L80="",$M80,CONCATENATE($L80,"-",$M80)))</f>
        <v>0</v>
      </c>
      <c r="X80" s="1" t="str">
        <f ca="1">IF(AND(Fonte&lt;&gt;"",Código&lt;&gt;""),MATCH(Fonte&amp;" "&amp;IF(Fonte="sinapi",SUBSTITUTE(SUBSTITUTE(Código,"/00","/"),"/0","/"),Código),INDIRECT("'[Referência "&amp;_xlnm.Database&amp;".xls]Banco'!$a:$a"),0),"X")</f>
        <v>X</v>
      </c>
      <c r="Y80" s="103">
        <v>0</v>
      </c>
      <c r="Z80" s="113">
        <f ca="1">ROUND(IF(ISNUMBER(R80),R80,IF(LEFT(R80,3)="BDI",HLOOKUP(R80,DADOS!$T$37:$X$38,2,FALSE),0)),15-11*$X$5)</f>
        <v>0.24</v>
      </c>
      <c r="AA80" s="1"/>
    </row>
    <row r="81" spans="1:27" x14ac:dyDescent="0.25">
      <c r="A81">
        <f t="shared" ref="A81" si="43">CHOOSE(1+LOG(1+2*(J81="Meta")+4*(J81="Nível 2")+8*(J81="Nível 3")+16*(J81="Nível 4")+32*(J81="Serviço"),2),0,1,2,3,4,"S")</f>
        <v>2</v>
      </c>
      <c r="B81">
        <f t="shared" ref="B81" ca="1" si="44">IF(OR(A81="S",A81=0),0,IF(ISERROR(I81),H81,SMALL(H81:I81,1)))</f>
        <v>6</v>
      </c>
      <c r="C81">
        <f t="shared" ca="1" si="2"/>
        <v>5</v>
      </c>
      <c r="D81">
        <f t="shared" ca="1" si="3"/>
        <v>1</v>
      </c>
      <c r="E81">
        <f t="shared" ca="1" si="4"/>
        <v>0</v>
      </c>
      <c r="F81">
        <f t="shared" ca="1" si="5"/>
        <v>0</v>
      </c>
      <c r="G81">
        <f t="shared" ca="1" si="6"/>
        <v>0</v>
      </c>
      <c r="H81">
        <f t="shared" ca="1" si="41"/>
        <v>20</v>
      </c>
      <c r="I81">
        <f t="shared" ca="1" si="42"/>
        <v>6</v>
      </c>
      <c r="J81" s="354" t="s">
        <v>100</v>
      </c>
      <c r="K81" s="138" t="str">
        <f t="shared" ref="K81" ca="1" si="45">IF($A81=0,"-",CONCATENATE(C81&amp;".",IF(AND($A$5&gt;=2,$A81&gt;=2),D81&amp;".",""),IF(AND($A$5&gt;=3,$A81&gt;=3),E81&amp;".",""),IF(AND($A$5&gt;=4,$A81&gt;=4),F81&amp;".",""),IF($A81="S",G81&amp;".","")))</f>
        <v>5.1.</v>
      </c>
      <c r="L81" s="355"/>
      <c r="M81" s="355"/>
      <c r="N81" s="356" t="s">
        <v>258</v>
      </c>
      <c r="O81" s="357" t="s">
        <v>106</v>
      </c>
      <c r="P81" s="358"/>
      <c r="Q81" s="195"/>
      <c r="R81" s="198" t="s">
        <v>7</v>
      </c>
      <c r="S81" s="103">
        <f t="shared" si="10"/>
        <v>0</v>
      </c>
      <c r="T81" s="83">
        <f t="shared" ca="1" si="11"/>
        <v>0</v>
      </c>
      <c r="U81" s="9" t="str">
        <f t="shared" ca="1" si="12"/>
        <v>SEM VALOR</v>
      </c>
      <c r="V81" s="1">
        <f ca="1">IF(OR($A81=0,$A81="S",$A81&gt;CFF!$A$9),"",MAX(V$12:OFFSET(V81,-1,0))+1)</f>
        <v>15</v>
      </c>
      <c r="W81" s="4" t="b">
        <f t="shared" si="13"/>
        <v>0</v>
      </c>
      <c r="X81" s="1" t="str">
        <f t="shared" ca="1" si="14"/>
        <v>X</v>
      </c>
      <c r="Y81" s="103">
        <v>0</v>
      </c>
      <c r="Z81" s="113">
        <f ca="1">ROUND(IF(ISNUMBER(R81),R81,IF(LEFT(R81,3)="BDI",HLOOKUP(R81,DADOS!$T$37:$X$38,2,FALSE),0)),15-11*$X$5)</f>
        <v>0.24</v>
      </c>
      <c r="AA81" s="1"/>
    </row>
    <row r="82" spans="1:27" x14ac:dyDescent="0.25">
      <c r="A82" t="str">
        <f>CHOOSE(1+LOG(1+2*(J82="Meta")+4*(J82="Nível 2")+8*(J82="Nível 3")+16*(J82="Nível 4")+32*(J82="Serviço"),2),0,1,2,3,4,"S")</f>
        <v>S</v>
      </c>
      <c r="B82">
        <f>IF(OR(A82="S",A82=0),0,IF(ISERROR(I82),H82,SMALL(H82:I82,1)))</f>
        <v>0</v>
      </c>
      <c r="C82">
        <f ca="1">IF($A82=1,OFFSET(C82,-1,0)+1,OFFSET(C82,-1,0))</f>
        <v>5</v>
      </c>
      <c r="D82">
        <f ca="1">IF($A82=1,0,IF($A82=2,OFFSET(D82,-1,0)+1,OFFSET(D82,-1,0)))</f>
        <v>1</v>
      </c>
      <c r="E82">
        <f ca="1">IF(AND($A82&lt;=2,$A82&lt;&gt;0),0,IF($A82=3,OFFSET(E82,-1,0)+1,OFFSET(E82,-1,0)))</f>
        <v>0</v>
      </c>
      <c r="F82">
        <f ca="1">IF(AND($A82&lt;=3,$A82&lt;&gt;0),0,IF($A82=4,OFFSET(F82,-1,0)+1,OFFSET(F82,-1,0)))</f>
        <v>0</v>
      </c>
      <c r="G82">
        <f ca="1">IF(AND($A82&lt;=4,$A82&lt;&gt;0),0,IF($A82="S",OFFSET(G82,-1,0)+1,OFFSET(G82,-1,0)))</f>
        <v>1</v>
      </c>
      <c r="H82">
        <f t="shared" ca="1" si="41"/>
        <v>0</v>
      </c>
      <c r="I82">
        <f t="shared" ca="1" si="42"/>
        <v>0</v>
      </c>
      <c r="J82" s="354" t="s">
        <v>103</v>
      </c>
      <c r="K82" s="138" t="str">
        <f ca="1">IF($A82=0,"-",CONCATENATE(C82&amp;".",IF(AND($A$5&gt;=2,$A82&gt;=2),D82&amp;".",""),IF(AND($A$5&gt;=3,$A82&gt;=3),E82&amp;".",""),IF(AND($A$5&gt;=4,$A82&gt;=4),F82&amp;".",""),IF($A82="S",G82&amp;".","")))</f>
        <v>5.1.0.1.</v>
      </c>
      <c r="L82" s="355" t="s">
        <v>256</v>
      </c>
      <c r="M82" s="355" t="s">
        <v>257</v>
      </c>
      <c r="N82" s="356" t="s">
        <v>290</v>
      </c>
      <c r="O82" s="357" t="s">
        <v>296</v>
      </c>
      <c r="P82" s="358">
        <v>450</v>
      </c>
      <c r="Q82" s="195"/>
      <c r="R82" s="198" t="s">
        <v>7</v>
      </c>
      <c r="S82" s="103">
        <f>IF($A82="S",IF($Q$10="Preço Unitário (R$)",PO.CustoUnitario,ROUND(PO.CustoUnitario*(1+$Z82),15-13*$X$6)),0)</f>
        <v>0</v>
      </c>
      <c r="T82" s="83">
        <f>IF($A82="S",VTOTAL1,IF($A82=0,0,ROUND(SomaAgrup,15-13*$X$7)))</f>
        <v>0</v>
      </c>
      <c r="U82" s="9" t="str">
        <f>IF($J82="","",IF($N82="","DESCRIÇÃO",IF(AND($J82="Serviço",$O82=""),"UNIDADE",IF($T82&lt;=0,"SEM VALOR",IF(AND($Y82&lt;&gt;"",$Q82&gt;$Y82),"ACIMA REF.","")))))</f>
        <v>SEM VALOR</v>
      </c>
      <c r="V82" s="1" t="str">
        <f ca="1">IF(OR($A82=0,$A82="S",$A82&gt;CFF!$A$9),"",MAX(V$12:OFFSET(V82,-1,0))+1)</f>
        <v/>
      </c>
      <c r="W82" s="4" t="str">
        <f>IF(AND($J82="Serviço",$M82&lt;&gt;""),IF($L82="",$M82,CONCATENATE($L82,"-",$M82)))</f>
        <v>PM BENTO-78</v>
      </c>
      <c r="X82" s="1">
        <f t="shared" ca="1" si="14"/>
        <v>82</v>
      </c>
      <c r="Y82" s="103">
        <v>4.79</v>
      </c>
      <c r="Z82" s="113">
        <f ca="1">ROUND(IF(ISNUMBER(R82),R82,IF(LEFT(R82,3)="BDI",HLOOKUP(R82,DADOS!$T$37:$X$38,2,FALSE),0)),15-11*$X$5)</f>
        <v>0.24</v>
      </c>
      <c r="AA82" s="1"/>
    </row>
    <row r="83" spans="1:27" ht="26.4" x14ac:dyDescent="0.25">
      <c r="A83" t="str">
        <f>CHOOSE(1+LOG(1+2*(J83="Meta")+4*(J83="Nível 2")+8*(J83="Nível 3")+16*(J83="Nível 4")+32*(J83="Serviço"),2),0,1,2,3,4,"S")</f>
        <v>S</v>
      </c>
      <c r="B83">
        <f>IF(OR(A83="S",A83=0),0,IF(ISERROR(I83),H83,SMALL(H83:I83,1)))</f>
        <v>0</v>
      </c>
      <c r="C83">
        <f ca="1">IF($A83=1,OFFSET(C83,-1,0)+1,OFFSET(C83,-1,0))</f>
        <v>5</v>
      </c>
      <c r="D83">
        <f ca="1">IF($A83=1,0,IF($A83=2,OFFSET(D83,-1,0)+1,OFFSET(D83,-1,0)))</f>
        <v>1</v>
      </c>
      <c r="E83">
        <f ca="1">IF(AND($A83&lt;=2,$A83&lt;&gt;0),0,IF($A83=3,OFFSET(E83,-1,0)+1,OFFSET(E83,-1,0)))</f>
        <v>0</v>
      </c>
      <c r="F83">
        <f ca="1">IF(AND($A83&lt;=3,$A83&lt;&gt;0),0,IF($A83=4,OFFSET(F83,-1,0)+1,OFFSET(F83,-1,0)))</f>
        <v>0</v>
      </c>
      <c r="G83">
        <f ca="1">IF(AND($A83&lt;=4,$A83&lt;&gt;0),0,IF($A83="S",OFFSET(G83,-1,0)+1,OFFSET(G83,-1,0)))</f>
        <v>2</v>
      </c>
      <c r="H83">
        <f ca="1">IF(OR($A83="S",$A83=0),0,MATCH(0,OFFSET($B83,1,$A83,ROW($A$121)-ROW($A83)),0))</f>
        <v>0</v>
      </c>
      <c r="I83">
        <f ca="1">IF(OR($A83="S",$A83=0),0,MATCH(OFFSET($B83,0,$A83)+1,OFFSET($B83,1,$A83,ROW($A$121)-ROW($A83)),0))</f>
        <v>0</v>
      </c>
      <c r="J83" s="354" t="s">
        <v>103</v>
      </c>
      <c r="K83" s="138" t="str">
        <f ca="1">IF($A83=0,"-",CONCATENATE(C83&amp;".",IF(AND($A$5&gt;=2,$A83&gt;=2),D83&amp;".",""),IF(AND($A$5&gt;=3,$A83&gt;=3),E83&amp;".",""),IF(AND($A$5&gt;=4,$A83&gt;=4),F83&amp;".",""),IF($A83="S",G83&amp;".","")))</f>
        <v>5.1.0.2.</v>
      </c>
      <c r="L83" s="355" t="s">
        <v>237</v>
      </c>
      <c r="M83" s="355" t="s">
        <v>284</v>
      </c>
      <c r="N83" s="356" t="s">
        <v>285</v>
      </c>
      <c r="O83" s="357" t="s">
        <v>238</v>
      </c>
      <c r="P83" s="358">
        <f>P82*7*0.5</f>
        <v>1575</v>
      </c>
      <c r="Q83" s="195"/>
      <c r="R83" s="198" t="s">
        <v>7</v>
      </c>
      <c r="S83" s="103">
        <f>IF($A83="S",IF($Q$10="Preço Unitário (R$)",PO.CustoUnitario,ROUND(PO.CustoUnitario*(1+$Z83),15-13*$X$6)),0)</f>
        <v>0</v>
      </c>
      <c r="T83" s="83">
        <f>IF($A83="S",VTOTAL1,IF($A83=0,0,ROUND(SomaAgrup,15-13*$X$7)))</f>
        <v>0</v>
      </c>
      <c r="U83" s="9" t="str">
        <f>IF($J83="","",IF($N83="","DESCRIÇÃO",IF(AND($J83="Serviço",$O83=""),"UNIDADE",IF($T83&lt;=0,"SEM VALOR",IF(AND($Y83&lt;&gt;"",$Q83&gt;$Y83),"ACIMA REF.","")))))</f>
        <v>SEM VALOR</v>
      </c>
      <c r="V83" s="1" t="str">
        <f ca="1">IF(OR($A83=0,$A83="S",$A83&gt;CFF!$A$9),"",MAX(V$12:OFFSET(V83,-1,0))+1)</f>
        <v/>
      </c>
      <c r="W83" s="4" t="str">
        <f>IF(AND($J83="Serviço",$M83&lt;&gt;""),IF($L83="",$M83,CONCATENATE($L83,"-",$M83)))</f>
        <v>SICRO-5501880</v>
      </c>
      <c r="X83" s="1" t="e">
        <f ca="1">IF(AND(Fonte&lt;&gt;"",Código&lt;&gt;""),MATCH(Fonte&amp;" "&amp;IF(Fonte="sinapi",SUBSTITUTE(SUBSTITUTE(Código,"/00","/"),"/0","/"),Código),INDIRECT("'[Referência "&amp;_xlnm.Database&amp;".xls]Banco'!$a:$a"),0),"X")</f>
        <v>#N/A</v>
      </c>
      <c r="Y83" s="103">
        <v>14.92</v>
      </c>
      <c r="Z83" s="113">
        <f ca="1">ROUND(IF(ISNUMBER(R83),R83,IF(LEFT(R83,3)="BDI",HLOOKUP(R83,DADOS!$T$37:$X$38,2,FALSE),0)),15-11*$X$5)</f>
        <v>0.24</v>
      </c>
      <c r="AA83" s="1"/>
    </row>
    <row r="84" spans="1:27" x14ac:dyDescent="0.25">
      <c r="A84" t="str">
        <f t="shared" ref="A84:A88" si="46">CHOOSE(1+LOG(1+2*(J84="Meta")+4*(J84="Nível 2")+8*(J84="Nível 3")+16*(J84="Nível 4")+32*(J84="Serviço"),2),0,1,2,3,4,"S")</f>
        <v>S</v>
      </c>
      <c r="B84">
        <f t="shared" ref="B84:B88" si="47">IF(OR(A84="S",A84=0),0,IF(ISERROR(I84),H84,SMALL(H84:I84,1)))</f>
        <v>0</v>
      </c>
      <c r="C84">
        <f t="shared" ca="1" si="2"/>
        <v>5</v>
      </c>
      <c r="D84">
        <f t="shared" ca="1" si="3"/>
        <v>1</v>
      </c>
      <c r="E84">
        <f t="shared" ca="1" si="4"/>
        <v>0</v>
      </c>
      <c r="F84">
        <f t="shared" ca="1" si="5"/>
        <v>0</v>
      </c>
      <c r="G84">
        <f t="shared" ca="1" si="6"/>
        <v>3</v>
      </c>
      <c r="H84">
        <f t="shared" ca="1" si="41"/>
        <v>0</v>
      </c>
      <c r="I84">
        <f t="shared" ca="1" si="42"/>
        <v>0</v>
      </c>
      <c r="J84" s="354" t="s">
        <v>103</v>
      </c>
      <c r="K84" s="138" t="str">
        <f t="shared" ref="K84:K88" ca="1" si="48">IF($A84=0,"-",CONCATENATE(C84&amp;".",IF(AND($A$5&gt;=2,$A84&gt;=2),D84&amp;".",""),IF(AND($A$5&gt;=3,$A84&gt;=3),E84&amp;".",""),IF(AND($A$5&gt;=4,$A84&gt;=4),F84&amp;".",""),IF($A84="S",G84&amp;".","")))</f>
        <v>5.1.0.3.</v>
      </c>
      <c r="L84" s="355" t="s">
        <v>237</v>
      </c>
      <c r="M84" s="355" t="s">
        <v>239</v>
      </c>
      <c r="N84" s="356" t="s">
        <v>240</v>
      </c>
      <c r="O84" s="357" t="s">
        <v>238</v>
      </c>
      <c r="P84" s="358">
        <f>P82*0.25*7</f>
        <v>787.5</v>
      </c>
      <c r="Q84" s="195"/>
      <c r="R84" s="198" t="s">
        <v>7</v>
      </c>
      <c r="S84" s="103">
        <f t="shared" si="10"/>
        <v>0</v>
      </c>
      <c r="T84" s="83">
        <f t="shared" si="11"/>
        <v>0</v>
      </c>
      <c r="U84" s="9" t="str">
        <f t="shared" si="12"/>
        <v>SEM VALOR</v>
      </c>
      <c r="V84" s="1" t="str">
        <f ca="1">IF(OR($A84=0,$A84="S",$A84&gt;CFF!$A$9),"",MAX(V$12:OFFSET(V84,-1,0))+1)</f>
        <v/>
      </c>
      <c r="W84" s="4" t="str">
        <f t="shared" si="13"/>
        <v>SICRO-4011211</v>
      </c>
      <c r="X84" s="1" t="e">
        <f t="shared" ca="1" si="14"/>
        <v>#N/A</v>
      </c>
      <c r="Y84" s="103">
        <v>14.47</v>
      </c>
      <c r="Z84" s="113">
        <f ca="1">ROUND(IF(ISNUMBER(R84),R84,IF(LEFT(R84,3)="BDI",HLOOKUP(R84,DADOS!$T$37:$X$38,2,FALSE),0)),15-11*$X$5)</f>
        <v>0.24</v>
      </c>
      <c r="AA84" s="1"/>
    </row>
    <row r="85" spans="1:27" x14ac:dyDescent="0.25">
      <c r="A85" t="str">
        <f t="shared" si="46"/>
        <v>S</v>
      </c>
      <c r="B85">
        <f t="shared" si="47"/>
        <v>0</v>
      </c>
      <c r="C85">
        <f t="shared" ca="1" si="2"/>
        <v>5</v>
      </c>
      <c r="D85">
        <f t="shared" ca="1" si="3"/>
        <v>1</v>
      </c>
      <c r="E85">
        <f t="shared" ca="1" si="4"/>
        <v>0</v>
      </c>
      <c r="F85">
        <f t="shared" ca="1" si="5"/>
        <v>0</v>
      </c>
      <c r="G85">
        <f t="shared" ca="1" si="6"/>
        <v>4</v>
      </c>
      <c r="H85">
        <f t="shared" ca="1" si="41"/>
        <v>0</v>
      </c>
      <c r="I85">
        <f t="shared" ca="1" si="42"/>
        <v>0</v>
      </c>
      <c r="J85" s="354" t="s">
        <v>103</v>
      </c>
      <c r="K85" s="138" t="str">
        <f t="shared" ca="1" si="48"/>
        <v>5.1.0.4.</v>
      </c>
      <c r="L85" s="355" t="s">
        <v>237</v>
      </c>
      <c r="M85" s="355" t="s">
        <v>244</v>
      </c>
      <c r="N85" s="356" t="s">
        <v>243</v>
      </c>
      <c r="O85" s="357" t="s">
        <v>238</v>
      </c>
      <c r="P85" s="358">
        <f>P82*0.25*7</f>
        <v>787.5</v>
      </c>
      <c r="Q85" s="195"/>
      <c r="R85" s="198" t="s">
        <v>7</v>
      </c>
      <c r="S85" s="103">
        <f t="shared" si="10"/>
        <v>0</v>
      </c>
      <c r="T85" s="83">
        <f t="shared" si="11"/>
        <v>0</v>
      </c>
      <c r="U85" s="9" t="str">
        <f t="shared" si="12"/>
        <v>SEM VALOR</v>
      </c>
      <c r="V85" s="1" t="str">
        <f ca="1">IF(OR($A85=0,$A85="S",$A85&gt;CFF!$A$9),"",MAX(V$12:OFFSET(V85,-1,0))+1)</f>
        <v/>
      </c>
      <c r="W85" s="4" t="str">
        <f t="shared" si="13"/>
        <v>SICRO-4011276</v>
      </c>
      <c r="X85" s="1" t="e">
        <f t="shared" ca="1" si="14"/>
        <v>#N/A</v>
      </c>
      <c r="Y85" s="103">
        <v>235.61</v>
      </c>
      <c r="Z85" s="113">
        <f ca="1">ROUND(IF(ISNUMBER(R85),R85,IF(LEFT(R85,3)="BDI",HLOOKUP(R85,DADOS!$T$37:$X$38,2,FALSE),0)),15-11*$X$5)</f>
        <v>0.24</v>
      </c>
      <c r="AA85" s="1"/>
    </row>
    <row r="86" spans="1:27" x14ac:dyDescent="0.25">
      <c r="A86" t="str">
        <f t="shared" si="46"/>
        <v>S</v>
      </c>
      <c r="B86">
        <f t="shared" si="47"/>
        <v>0</v>
      </c>
      <c r="C86">
        <f t="shared" ca="1" si="2"/>
        <v>5</v>
      </c>
      <c r="D86">
        <f t="shared" ca="1" si="3"/>
        <v>1</v>
      </c>
      <c r="E86">
        <f t="shared" ca="1" si="4"/>
        <v>0</v>
      </c>
      <c r="F86">
        <f t="shared" ca="1" si="5"/>
        <v>0</v>
      </c>
      <c r="G86">
        <f t="shared" ca="1" si="6"/>
        <v>5</v>
      </c>
      <c r="H86">
        <f t="shared" ca="1" si="41"/>
        <v>0</v>
      </c>
      <c r="I86">
        <f t="shared" ca="1" si="42"/>
        <v>0</v>
      </c>
      <c r="J86" s="354" t="s">
        <v>103</v>
      </c>
      <c r="K86" s="138" t="str">
        <f t="shared" ca="1" si="48"/>
        <v>5.1.0.5.</v>
      </c>
      <c r="L86" s="355" t="s">
        <v>237</v>
      </c>
      <c r="M86" s="355" t="s">
        <v>241</v>
      </c>
      <c r="N86" s="356" t="s">
        <v>272</v>
      </c>
      <c r="O86" s="357" t="s">
        <v>242</v>
      </c>
      <c r="P86" s="358">
        <f>((P84+P85)*1.8)*30</f>
        <v>85050</v>
      </c>
      <c r="Q86" s="195"/>
      <c r="R86" s="198" t="s">
        <v>7</v>
      </c>
      <c r="S86" s="103">
        <f t="shared" si="10"/>
        <v>0</v>
      </c>
      <c r="T86" s="83">
        <f t="shared" si="11"/>
        <v>0</v>
      </c>
      <c r="U86" s="9" t="str">
        <f t="shared" si="12"/>
        <v>SEM VALOR</v>
      </c>
      <c r="V86" s="1" t="str">
        <f ca="1">IF(OR($A86=0,$A86="S",$A86&gt;CFF!$A$9),"",MAX(V$12:OFFSET(V86,-1,0))+1)</f>
        <v/>
      </c>
      <c r="W86" s="4" t="str">
        <f t="shared" si="13"/>
        <v>SICRO-5914389</v>
      </c>
      <c r="X86" s="1" t="e">
        <f t="shared" ca="1" si="14"/>
        <v>#N/A</v>
      </c>
      <c r="Y86" s="103">
        <v>1</v>
      </c>
      <c r="Z86" s="113">
        <f ca="1">ROUND(IF(ISNUMBER(R86),R86,IF(LEFT(R86,3)="BDI",HLOOKUP(R86,DADOS!$T$37:$X$38,2,FALSE),0)),15-11*$X$5)</f>
        <v>0.24</v>
      </c>
      <c r="AA86" s="1"/>
    </row>
    <row r="87" spans="1:27" x14ac:dyDescent="0.25">
      <c r="A87">
        <f t="shared" si="46"/>
        <v>2</v>
      </c>
      <c r="B87">
        <f t="shared" ca="1" si="47"/>
        <v>11</v>
      </c>
      <c r="C87">
        <f t="shared" ca="1" si="2"/>
        <v>5</v>
      </c>
      <c r="D87">
        <f t="shared" ca="1" si="3"/>
        <v>2</v>
      </c>
      <c r="E87">
        <f t="shared" ca="1" si="4"/>
        <v>0</v>
      </c>
      <c r="F87">
        <f t="shared" ca="1" si="5"/>
        <v>0</v>
      </c>
      <c r="G87">
        <f t="shared" ca="1" si="6"/>
        <v>0</v>
      </c>
      <c r="H87">
        <f t="shared" ca="1" si="41"/>
        <v>14</v>
      </c>
      <c r="I87">
        <f t="shared" ca="1" si="42"/>
        <v>11</v>
      </c>
      <c r="J87" s="354" t="s">
        <v>100</v>
      </c>
      <c r="K87" s="138" t="str">
        <f t="shared" ca="1" si="48"/>
        <v>5.2.</v>
      </c>
      <c r="L87" s="355"/>
      <c r="M87" s="355"/>
      <c r="N87" s="356" t="s">
        <v>259</v>
      </c>
      <c r="O87" s="357" t="s">
        <v>106</v>
      </c>
      <c r="P87" s="358"/>
      <c r="Q87" s="195"/>
      <c r="R87" s="198" t="s">
        <v>7</v>
      </c>
      <c r="S87" s="103">
        <f t="shared" si="10"/>
        <v>0</v>
      </c>
      <c r="T87" s="83">
        <f t="shared" ca="1" si="11"/>
        <v>0</v>
      </c>
      <c r="U87" s="9" t="str">
        <f t="shared" ca="1" si="12"/>
        <v>SEM VALOR</v>
      </c>
      <c r="V87" s="1">
        <f ca="1">IF(OR($A87=0,$A87="S",$A87&gt;CFF!$A$9),"",MAX(V$12:OFFSET(V87,-1,0))+1)</f>
        <v>16</v>
      </c>
      <c r="W87" s="4" t="b">
        <f t="shared" si="13"/>
        <v>0</v>
      </c>
      <c r="X87" s="1" t="str">
        <f t="shared" ca="1" si="14"/>
        <v>X</v>
      </c>
      <c r="Y87" s="103">
        <v>0</v>
      </c>
      <c r="Z87" s="113">
        <f ca="1">ROUND(IF(ISNUMBER(R87),R87,IF(LEFT(R87,3)="BDI",HLOOKUP(R87,DADOS!$T$37:$X$38,2,FALSE),0)),15-11*$X$5)</f>
        <v>0.24</v>
      </c>
      <c r="AA87" s="1"/>
    </row>
    <row r="88" spans="1:27" x14ac:dyDescent="0.25">
      <c r="A88" t="str">
        <f t="shared" si="46"/>
        <v>S</v>
      </c>
      <c r="B88">
        <f t="shared" si="47"/>
        <v>0</v>
      </c>
      <c r="C88">
        <f t="shared" ca="1" si="2"/>
        <v>5</v>
      </c>
      <c r="D88">
        <f t="shared" ca="1" si="3"/>
        <v>2</v>
      </c>
      <c r="E88">
        <f t="shared" ca="1" si="4"/>
        <v>0</v>
      </c>
      <c r="F88">
        <f t="shared" ca="1" si="5"/>
        <v>0</v>
      </c>
      <c r="G88">
        <f t="shared" ca="1" si="6"/>
        <v>1</v>
      </c>
      <c r="H88">
        <f t="shared" ca="1" si="41"/>
        <v>0</v>
      </c>
      <c r="I88">
        <f t="shared" ca="1" si="42"/>
        <v>0</v>
      </c>
      <c r="J88" s="354" t="s">
        <v>103</v>
      </c>
      <c r="K88" s="138" t="str">
        <f t="shared" ca="1" si="48"/>
        <v>5.2.0.1.</v>
      </c>
      <c r="L88" s="355" t="s">
        <v>237</v>
      </c>
      <c r="M88" s="355" t="s">
        <v>245</v>
      </c>
      <c r="N88" s="356" t="s">
        <v>246</v>
      </c>
      <c r="O88" s="357" t="s">
        <v>248</v>
      </c>
      <c r="P88" s="358">
        <f>P82*7</f>
        <v>3150</v>
      </c>
      <c r="Q88" s="195"/>
      <c r="R88" s="198" t="s">
        <v>7</v>
      </c>
      <c r="S88" s="103">
        <f t="shared" si="10"/>
        <v>0</v>
      </c>
      <c r="T88" s="83">
        <f t="shared" si="11"/>
        <v>0</v>
      </c>
      <c r="U88" s="9" t="str">
        <f t="shared" si="12"/>
        <v>SEM VALOR</v>
      </c>
      <c r="V88" s="1" t="str">
        <f ca="1">IF(OR($A88=0,$A88="S",$A88&gt;CFF!$A$9),"",MAX(V$12:OFFSET(V88,-1,0))+1)</f>
        <v/>
      </c>
      <c r="W88" s="4" t="str">
        <f t="shared" si="13"/>
        <v>SICRO-4011352</v>
      </c>
      <c r="X88" s="1" t="e">
        <f t="shared" ca="1" si="14"/>
        <v>#N/A</v>
      </c>
      <c r="Y88" s="103">
        <v>0.51</v>
      </c>
      <c r="Z88" s="113">
        <f ca="1">ROUND(IF(ISNUMBER(R88),R88,IF(LEFT(R88,3)="BDI",HLOOKUP(R88,DADOS!$T$37:$X$38,2,FALSE),0)),15-11*$X$5)</f>
        <v>0.24</v>
      </c>
      <c r="AA88" s="1"/>
    </row>
    <row r="89" spans="1:27" x14ac:dyDescent="0.25">
      <c r="A89" t="str">
        <f>CHOOSE(1+LOG(1+2*(J89="Meta")+4*(J89="Nível 2")+8*(J89="Nível 3")+16*(J89="Nível 4")+32*(J89="Serviço"),2),0,1,2,3,4,"S")</f>
        <v>S</v>
      </c>
      <c r="B89">
        <f>IF(OR(A89="S",A89=0),0,IF(ISERROR(I89),H89,SMALL(H89:I89,1)))</f>
        <v>0</v>
      </c>
      <c r="C89">
        <f ca="1">IF($A89=1,OFFSET(C89,-1,0)+1,OFFSET(C89,-1,0))</f>
        <v>5</v>
      </c>
      <c r="D89">
        <f ca="1">IF($A89=1,0,IF($A89=2,OFFSET(D89,-1,0)+1,OFFSET(D89,-1,0)))</f>
        <v>2</v>
      </c>
      <c r="E89">
        <f ca="1">IF(AND($A89&lt;=2,$A89&lt;&gt;0),0,IF($A89=3,OFFSET(E89,-1,0)+1,OFFSET(E89,-1,0)))</f>
        <v>0</v>
      </c>
      <c r="F89">
        <f ca="1">IF(AND($A89&lt;=3,$A89&lt;&gt;0),0,IF($A89=4,OFFSET(F89,-1,0)+1,OFFSET(F89,-1,0)))</f>
        <v>0</v>
      </c>
      <c r="G89">
        <f ca="1">IF(AND($A89&lt;=4,$A89&lt;&gt;0),0,IF($A89="S",OFFSET(G89,-1,0)+1,OFFSET(G89,-1,0)))</f>
        <v>2</v>
      </c>
      <c r="H89">
        <f t="shared" ca="1" si="41"/>
        <v>0</v>
      </c>
      <c r="I89">
        <f t="shared" ca="1" si="42"/>
        <v>0</v>
      </c>
      <c r="J89" s="354" t="s">
        <v>103</v>
      </c>
      <c r="K89" s="138" t="str">
        <f ca="1">IF($A89=0,"-",CONCATENATE(C89&amp;".",IF(AND($A$5&gt;=2,$A89&gt;=2),D89&amp;".",""),IF(AND($A$5&gt;=3,$A89&gt;=3),E89&amp;".",""),IF(AND($A$5&gt;=4,$A89&gt;=4),F89&amp;".",""),IF($A89="S",G89&amp;".","")))</f>
        <v>5.2.0.2.</v>
      </c>
      <c r="L89" s="355" t="s">
        <v>237</v>
      </c>
      <c r="M89" s="355" t="s">
        <v>260</v>
      </c>
      <c r="N89" s="356" t="s">
        <v>277</v>
      </c>
      <c r="O89" s="357" t="s">
        <v>248</v>
      </c>
      <c r="P89" s="358">
        <f>P88</f>
        <v>3150</v>
      </c>
      <c r="Q89" s="195"/>
      <c r="R89" s="198" t="s">
        <v>7</v>
      </c>
      <c r="S89" s="103">
        <f>IF($A89="S",IF($Q$10="Preço Unitário (R$)",PO.CustoUnitario,ROUND(PO.CustoUnitario*(1+$Z89),15-13*$X$6)),0)</f>
        <v>0</v>
      </c>
      <c r="T89" s="83">
        <f>IF($A89="S",VTOTAL1,IF($A89=0,0,ROUND(SomaAgrup,15-13*$X$7)))</f>
        <v>0</v>
      </c>
      <c r="U89" s="9" t="str">
        <f>IF($J89="","",IF($N89="","DESCRIÇÃO",IF(AND($J89="Serviço",$O89=""),"UNIDADE",IF($T89&lt;=0,"SEM VALOR",IF(AND($Y89&lt;&gt;"",$Q89&gt;$Y89),"ACIMA REF.","")))))</f>
        <v>SEM VALOR</v>
      </c>
      <c r="V89" s="1" t="str">
        <f ca="1">IF(OR($A89=0,$A89="S",$A89&gt;CFF!$A$9),"",MAX(V$12:OFFSET(V89,-1,0))+1)</f>
        <v/>
      </c>
      <c r="W89" s="4" t="str">
        <f>IF(AND($J89="Serviço",$M89&lt;&gt;""),IF($L89="",$M89,CONCATENATE($L89,"-",$M89)))</f>
        <v>SICRO-4011353</v>
      </c>
      <c r="X89" s="1" t="e">
        <f ca="1">IF(AND(Fonte&lt;&gt;"",Código&lt;&gt;""),MATCH(Fonte&amp;" "&amp;IF(Fonte="sinapi",SUBSTITUTE(SUBSTITUTE(Código,"/00","/"),"/0","/"),Código),INDIRECT("'[Referência "&amp;_xlnm.Database&amp;".xls]Banco'!$a:$a"),0),"X")</f>
        <v>#N/A</v>
      </c>
      <c r="Y89" s="103">
        <v>0.35</v>
      </c>
      <c r="Z89" s="113">
        <f ca="1">ROUND(IF(ISNUMBER(R89),R89,IF(LEFT(R89,3)="BDI",HLOOKUP(R89,DADOS!$T$37:$X$38,2,FALSE),0)),15-11*$X$5)</f>
        <v>0.24</v>
      </c>
      <c r="AA89" s="1"/>
    </row>
    <row r="90" spans="1:27" x14ac:dyDescent="0.25">
      <c r="A90" t="str">
        <f t="shared" ref="A90:A94" si="49">CHOOSE(1+LOG(1+2*(J90="Meta")+4*(J90="Nível 2")+8*(J90="Nível 3")+16*(J90="Nível 4")+32*(J90="Serviço"),2),0,1,2,3,4,"S")</f>
        <v>S</v>
      </c>
      <c r="B90">
        <f t="shared" ref="B90:B94" si="50">IF(OR(A90="S",A90=0),0,IF(ISERROR(I90),H90,SMALL(H90:I90,1)))</f>
        <v>0</v>
      </c>
      <c r="C90">
        <f t="shared" ca="1" si="2"/>
        <v>5</v>
      </c>
      <c r="D90">
        <f t="shared" ca="1" si="3"/>
        <v>2</v>
      </c>
      <c r="E90">
        <f t="shared" ca="1" si="4"/>
        <v>0</v>
      </c>
      <c r="F90">
        <f t="shared" ca="1" si="5"/>
        <v>0</v>
      </c>
      <c r="G90">
        <f t="shared" ca="1" si="6"/>
        <v>3</v>
      </c>
      <c r="H90">
        <f t="shared" ca="1" si="41"/>
        <v>0</v>
      </c>
      <c r="I90">
        <f t="shared" ca="1" si="42"/>
        <v>0</v>
      </c>
      <c r="J90" s="354" t="s">
        <v>103</v>
      </c>
      <c r="K90" s="138" t="str">
        <f t="shared" ref="K90:K94" ca="1" si="51">IF($A90=0,"-",CONCATENATE(C90&amp;".",IF(AND($A$5&gt;=2,$A90&gt;=2),D90&amp;".",""),IF(AND($A$5&gt;=3,$A90&gt;=3),E90&amp;".",""),IF(AND($A$5&gt;=4,$A90&gt;=4),F90&amp;".",""),IF($A90="S",G90&amp;".","")))</f>
        <v>5.2.0.3.</v>
      </c>
      <c r="L90" s="355" t="s">
        <v>237</v>
      </c>
      <c r="M90" s="355" t="s">
        <v>261</v>
      </c>
      <c r="N90" s="356" t="s">
        <v>286</v>
      </c>
      <c r="O90" s="357" t="s">
        <v>249</v>
      </c>
      <c r="P90" s="358">
        <f>P82*7*0.125</f>
        <v>393.75</v>
      </c>
      <c r="Q90" s="195"/>
      <c r="R90" s="198" t="s">
        <v>7</v>
      </c>
      <c r="S90" s="103">
        <f t="shared" si="10"/>
        <v>0</v>
      </c>
      <c r="T90" s="83">
        <f t="shared" si="11"/>
        <v>0</v>
      </c>
      <c r="U90" s="9" t="str">
        <f t="shared" si="12"/>
        <v>SEM VALOR</v>
      </c>
      <c r="V90" s="1" t="str">
        <f ca="1">IF(OR($A90=0,$A90="S",$A90&gt;CFF!$A$9),"",MAX(V$12:OFFSET(V90,-1,0))+1)</f>
        <v/>
      </c>
      <c r="W90" s="4" t="str">
        <f t="shared" si="13"/>
        <v>SICRO-4011463</v>
      </c>
      <c r="X90" s="1" t="e">
        <f t="shared" ca="1" si="14"/>
        <v>#N/A</v>
      </c>
      <c r="Y90" s="103">
        <v>228.05</v>
      </c>
      <c r="Z90" s="113">
        <f ca="1">ROUND(IF(ISNUMBER(R90),R90,IF(LEFT(R90,3)="BDI",HLOOKUP(R90,DADOS!$T$37:$X$38,2,FALSE),0)),15-11*$X$5)</f>
        <v>0.24</v>
      </c>
      <c r="AA90" s="1"/>
    </row>
    <row r="91" spans="1:27" x14ac:dyDescent="0.25">
      <c r="A91" t="str">
        <f t="shared" si="49"/>
        <v>S</v>
      </c>
      <c r="B91">
        <f t="shared" si="50"/>
        <v>0</v>
      </c>
      <c r="C91">
        <f t="shared" ca="1" si="2"/>
        <v>5</v>
      </c>
      <c r="D91">
        <f t="shared" ca="1" si="3"/>
        <v>2</v>
      </c>
      <c r="E91">
        <f t="shared" ca="1" si="4"/>
        <v>0</v>
      </c>
      <c r="F91">
        <f t="shared" ca="1" si="5"/>
        <v>0</v>
      </c>
      <c r="G91">
        <f t="shared" ca="1" si="6"/>
        <v>4</v>
      </c>
      <c r="H91">
        <f t="shared" ca="1" si="41"/>
        <v>0</v>
      </c>
      <c r="I91">
        <f t="shared" ca="1" si="42"/>
        <v>0</v>
      </c>
      <c r="J91" s="354" t="s">
        <v>103</v>
      </c>
      <c r="K91" s="138" t="str">
        <f t="shared" ca="1" si="51"/>
        <v>5.2.0.4.</v>
      </c>
      <c r="L91" s="355" t="s">
        <v>262</v>
      </c>
      <c r="M91" s="355" t="s">
        <v>263</v>
      </c>
      <c r="N91" s="356" t="s">
        <v>264</v>
      </c>
      <c r="O91" s="357" t="s">
        <v>249</v>
      </c>
      <c r="P91" s="358">
        <f>P88*0.0013</f>
        <v>4.0949999999999998</v>
      </c>
      <c r="Q91" s="195"/>
      <c r="R91" s="198" t="s">
        <v>7</v>
      </c>
      <c r="S91" s="103">
        <f t="shared" si="10"/>
        <v>0</v>
      </c>
      <c r="T91" s="83">
        <f t="shared" si="11"/>
        <v>0</v>
      </c>
      <c r="U91" s="9" t="str">
        <f t="shared" si="12"/>
        <v>SEM VALOR</v>
      </c>
      <c r="V91" s="1" t="str">
        <f ca="1">IF(OR($A91=0,$A91="S",$A91&gt;CFF!$A$9),"",MAX(V$12:OFFSET(V91,-1,0))+1)</f>
        <v/>
      </c>
      <c r="W91" s="4" t="str">
        <f t="shared" si="13"/>
        <v>ANP-INSUMO</v>
      </c>
      <c r="X91" s="1" t="e">
        <f t="shared" ca="1" si="14"/>
        <v>#N/A</v>
      </c>
      <c r="Y91" s="103">
        <v>3404.41</v>
      </c>
      <c r="Z91" s="113">
        <f ca="1">ROUND(IF(ISNUMBER(R91),R91,IF(LEFT(R91,3)="BDI",HLOOKUP(R91,DADOS!$T$37:$X$38,2,FALSE),0)),15-11*$X$5)</f>
        <v>0.24</v>
      </c>
      <c r="AA91" s="1"/>
    </row>
    <row r="92" spans="1:27" x14ac:dyDescent="0.25">
      <c r="A92" t="str">
        <f t="shared" si="49"/>
        <v>S</v>
      </c>
      <c r="B92">
        <f t="shared" si="50"/>
        <v>0</v>
      </c>
      <c r="C92">
        <f t="shared" ca="1" si="2"/>
        <v>5</v>
      </c>
      <c r="D92">
        <f t="shared" ca="1" si="3"/>
        <v>2</v>
      </c>
      <c r="E92">
        <f t="shared" ca="1" si="4"/>
        <v>0</v>
      </c>
      <c r="F92">
        <f t="shared" ca="1" si="5"/>
        <v>0</v>
      </c>
      <c r="G92">
        <f t="shared" ca="1" si="6"/>
        <v>5</v>
      </c>
      <c r="H92">
        <f t="shared" ca="1" si="41"/>
        <v>0</v>
      </c>
      <c r="I92">
        <f t="shared" ca="1" si="42"/>
        <v>0</v>
      </c>
      <c r="J92" s="354" t="s">
        <v>103</v>
      </c>
      <c r="K92" s="138" t="str">
        <f t="shared" ca="1" si="51"/>
        <v>5.2.0.5.</v>
      </c>
      <c r="L92" s="355" t="s">
        <v>262</v>
      </c>
      <c r="M92" s="355" t="s">
        <v>263</v>
      </c>
      <c r="N92" s="356" t="s">
        <v>265</v>
      </c>
      <c r="O92" s="357" t="s">
        <v>249</v>
      </c>
      <c r="P92" s="358">
        <f>P88*0.0009</f>
        <v>2.835</v>
      </c>
      <c r="Q92" s="195"/>
      <c r="R92" s="198" t="s">
        <v>7</v>
      </c>
      <c r="S92" s="103">
        <f t="shared" si="10"/>
        <v>0</v>
      </c>
      <c r="T92" s="83">
        <f t="shared" si="11"/>
        <v>0</v>
      </c>
      <c r="U92" s="9" t="str">
        <f t="shared" si="12"/>
        <v>SEM VALOR</v>
      </c>
      <c r="V92" s="1" t="str">
        <f ca="1">IF(OR($A92=0,$A92="S",$A92&gt;CFF!$A$9),"",MAX(V$12:OFFSET(V92,-1,0))+1)</f>
        <v/>
      </c>
      <c r="W92" s="4" t="str">
        <f t="shared" si="13"/>
        <v>ANP-INSUMO</v>
      </c>
      <c r="X92" s="1" t="e">
        <f t="shared" ca="1" si="14"/>
        <v>#N/A</v>
      </c>
      <c r="Y92" s="103">
        <v>3202.6</v>
      </c>
      <c r="Z92" s="113">
        <f ca="1">ROUND(IF(ISNUMBER(R92),R92,IF(LEFT(R92,3)="BDI",HLOOKUP(R92,DADOS!$T$37:$X$38,2,FALSE),0)),15-11*$X$5)</f>
        <v>0.24</v>
      </c>
      <c r="AA92" s="1"/>
    </row>
    <row r="93" spans="1:27" x14ac:dyDescent="0.25">
      <c r="A93" t="str">
        <f t="shared" si="49"/>
        <v>S</v>
      </c>
      <c r="B93">
        <f t="shared" si="50"/>
        <v>0</v>
      </c>
      <c r="C93">
        <f t="shared" ca="1" si="2"/>
        <v>5</v>
      </c>
      <c r="D93">
        <f t="shared" ca="1" si="3"/>
        <v>2</v>
      </c>
      <c r="E93">
        <f t="shared" ca="1" si="4"/>
        <v>0</v>
      </c>
      <c r="F93">
        <f t="shared" ca="1" si="5"/>
        <v>0</v>
      </c>
      <c r="G93">
        <f t="shared" ca="1" si="6"/>
        <v>6</v>
      </c>
      <c r="H93">
        <f t="shared" ca="1" si="41"/>
        <v>0</v>
      </c>
      <c r="I93">
        <f t="shared" ca="1" si="42"/>
        <v>0</v>
      </c>
      <c r="J93" s="354" t="s">
        <v>103</v>
      </c>
      <c r="K93" s="138" t="str">
        <f t="shared" ca="1" si="51"/>
        <v>5.2.0.6.</v>
      </c>
      <c r="L93" s="355" t="s">
        <v>262</v>
      </c>
      <c r="M93" s="355" t="s">
        <v>263</v>
      </c>
      <c r="N93" s="356" t="s">
        <v>266</v>
      </c>
      <c r="O93" s="357" t="s">
        <v>249</v>
      </c>
      <c r="P93" s="358">
        <f>P88*0.0109</f>
        <v>34.335000000000001</v>
      </c>
      <c r="Q93" s="195"/>
      <c r="R93" s="198" t="s">
        <v>7</v>
      </c>
      <c r="S93" s="103">
        <f t="shared" si="10"/>
        <v>0</v>
      </c>
      <c r="T93" s="83">
        <f t="shared" si="11"/>
        <v>0</v>
      </c>
      <c r="U93" s="9" t="str">
        <f t="shared" si="12"/>
        <v>SEM VALOR</v>
      </c>
      <c r="V93" s="1" t="str">
        <f ca="1">IF(OR($A93=0,$A93="S",$A93&gt;CFF!$A$9),"",MAX(V$12:OFFSET(V93,-1,0))+1)</f>
        <v/>
      </c>
      <c r="W93" s="4" t="str">
        <f t="shared" si="13"/>
        <v>ANP-INSUMO</v>
      </c>
      <c r="X93" s="1" t="e">
        <f t="shared" ca="1" si="14"/>
        <v>#N/A</v>
      </c>
      <c r="Y93" s="103">
        <v>4697.6400000000003</v>
      </c>
      <c r="Z93" s="113">
        <f ca="1">ROUND(IF(ISNUMBER(R93),R93,IF(LEFT(R93,3)="BDI",HLOOKUP(R93,DADOS!$T$37:$X$38,2,FALSE),0)),15-11*$X$5)</f>
        <v>0.24</v>
      </c>
      <c r="AA93" s="1"/>
    </row>
    <row r="94" spans="1:27" x14ac:dyDescent="0.25">
      <c r="A94">
        <f t="shared" si="49"/>
        <v>3</v>
      </c>
      <c r="B94">
        <f t="shared" ca="1" si="50"/>
        <v>4</v>
      </c>
      <c r="C94">
        <f t="shared" ca="1" si="2"/>
        <v>5</v>
      </c>
      <c r="D94">
        <f t="shared" ca="1" si="3"/>
        <v>2</v>
      </c>
      <c r="E94">
        <f t="shared" ca="1" si="4"/>
        <v>1</v>
      </c>
      <c r="F94">
        <f t="shared" ca="1" si="5"/>
        <v>0</v>
      </c>
      <c r="G94">
        <f t="shared" ca="1" si="6"/>
        <v>0</v>
      </c>
      <c r="H94">
        <f t="shared" ca="1" si="41"/>
        <v>4</v>
      </c>
      <c r="I94" t="e">
        <f t="shared" ca="1" si="42"/>
        <v>#N/A</v>
      </c>
      <c r="J94" s="354" t="s">
        <v>101</v>
      </c>
      <c r="K94" s="138" t="str">
        <f t="shared" ca="1" si="51"/>
        <v>5.2.1.</v>
      </c>
      <c r="L94" s="355"/>
      <c r="M94" s="355"/>
      <c r="N94" s="356" t="s">
        <v>267</v>
      </c>
      <c r="O94" s="357" t="s">
        <v>106</v>
      </c>
      <c r="P94" s="358"/>
      <c r="Q94" s="195"/>
      <c r="R94" s="198" t="s">
        <v>7</v>
      </c>
      <c r="S94" s="103">
        <f t="shared" si="10"/>
        <v>0</v>
      </c>
      <c r="T94" s="83">
        <f t="shared" ca="1" si="11"/>
        <v>0</v>
      </c>
      <c r="U94" s="9" t="str">
        <f t="shared" ca="1" si="12"/>
        <v>SEM VALOR</v>
      </c>
      <c r="V94" s="1" t="str">
        <f ca="1">IF(OR($A94=0,$A94="S",$A94&gt;CFF!$A$9),"",MAX(V$12:OFFSET(V94,-1,0))+1)</f>
        <v/>
      </c>
      <c r="W94" s="4" t="b">
        <f t="shared" si="13"/>
        <v>0</v>
      </c>
      <c r="X94" s="1" t="str">
        <f t="shared" ca="1" si="14"/>
        <v>X</v>
      </c>
      <c r="Y94" s="103">
        <v>0</v>
      </c>
      <c r="Z94" s="113">
        <f ca="1">ROUND(IF(ISNUMBER(R94),R94,IF(LEFT(R94,3)="BDI",HLOOKUP(R94,DADOS!$T$37:$X$38,2,FALSE),0)),15-11*$X$5)</f>
        <v>0.24</v>
      </c>
      <c r="AA94" s="1"/>
    </row>
    <row r="95" spans="1:27" ht="26.4" x14ac:dyDescent="0.25">
      <c r="A95" t="str">
        <f>CHOOSE(1+LOG(1+2*(J95="Meta")+4*(J95="Nível 2")+8*(J95="Nível 3")+16*(J95="Nível 4")+32*(J95="Serviço"),2),0,1,2,3,4,"S")</f>
        <v>S</v>
      </c>
      <c r="B95">
        <f>IF(OR(A95="S",A95=0),0,IF(ISERROR(I95),H95,SMALL(H95:I95,1)))</f>
        <v>0</v>
      </c>
      <c r="C95">
        <f ca="1">IF($A95=1,OFFSET(C95,-1,0)+1,OFFSET(C95,-1,0))</f>
        <v>5</v>
      </c>
      <c r="D95">
        <f ca="1">IF($A95=1,0,IF($A95=2,OFFSET(D95,-1,0)+1,OFFSET(D95,-1,0)))</f>
        <v>2</v>
      </c>
      <c r="E95">
        <f ca="1">IF(AND($A95&lt;=2,$A95&lt;&gt;0),0,IF($A95=3,OFFSET(E95,-1,0)+1,OFFSET(E95,-1,0)))</f>
        <v>1</v>
      </c>
      <c r="F95">
        <f ca="1">IF(AND($A95&lt;=3,$A95&lt;&gt;0),0,IF($A95=4,OFFSET(F95,-1,0)+1,OFFSET(F95,-1,0)))</f>
        <v>0</v>
      </c>
      <c r="G95">
        <f ca="1">IF(AND($A95&lt;=4,$A95&lt;&gt;0),0,IF($A95="S",OFFSET(G95,-1,0)+1,OFFSET(G95,-1,0)))</f>
        <v>1</v>
      </c>
      <c r="H95">
        <f t="shared" ca="1" si="41"/>
        <v>0</v>
      </c>
      <c r="I95">
        <f t="shared" ca="1" si="42"/>
        <v>0</v>
      </c>
      <c r="J95" s="354" t="s">
        <v>103</v>
      </c>
      <c r="K95" s="138" t="str">
        <f ca="1">IF($A95=0,"-",CONCATENATE(C95&amp;".",IF(AND($A$5&gt;=2,$A95&gt;=2),D95&amp;".",""),IF(AND($A$5&gt;=3,$A95&gt;=3),E95&amp;".",""),IF(AND($A$5&gt;=4,$A95&gt;=4),F95&amp;".",""),IF($A95="S",G95&amp;".","")))</f>
        <v>5.2.1.1.</v>
      </c>
      <c r="L95" s="355" t="s">
        <v>237</v>
      </c>
      <c r="M95" s="355" t="s">
        <v>268</v>
      </c>
      <c r="N95" s="356" t="s">
        <v>269</v>
      </c>
      <c r="O95" s="357" t="s">
        <v>249</v>
      </c>
      <c r="P95" s="358">
        <f>P90</f>
        <v>393.75</v>
      </c>
      <c r="Q95" s="195"/>
      <c r="R95" s="198" t="s">
        <v>7</v>
      </c>
      <c r="S95" s="103">
        <f>IF($A95="S",IF($Q$10="Preço Unitário (R$)",PO.CustoUnitario,ROUND(PO.CustoUnitario*(1+$Z95),15-13*$X$6)),0)</f>
        <v>0</v>
      </c>
      <c r="T95" s="83">
        <f>IF($A95="S",VTOTAL1,IF($A95=0,0,ROUND(SomaAgrup,15-13*$X$7)))</f>
        <v>0</v>
      </c>
      <c r="U95" s="9" t="str">
        <f>IF($J95="","",IF($N95="","DESCRIÇÃO",IF(AND($J95="Serviço",$O95=""),"UNIDADE",IF($T95&lt;=0,"SEM VALOR",IF(AND($Y95&lt;&gt;"",$Q95&gt;$Y95),"ACIMA REF.","")))))</f>
        <v>SEM VALOR</v>
      </c>
      <c r="V95" s="1" t="str">
        <f ca="1">IF(OR($A95=0,$A95="S",$A95&gt;CFF!$A$9),"",MAX(V$12:OFFSET(V95,-1,0))+1)</f>
        <v/>
      </c>
      <c r="W95" s="4" t="str">
        <f>IF(AND($J95="Serviço",$M95&lt;&gt;""),IF($L95="",$M95,CONCATENATE($L95,"-",$M95)))</f>
        <v>SICRO-5914643</v>
      </c>
      <c r="X95" s="1" t="e">
        <f t="shared" ca="1" si="14"/>
        <v>#N/A</v>
      </c>
      <c r="Y95" s="103">
        <v>6.44</v>
      </c>
      <c r="Z95" s="113">
        <f ca="1">ROUND(IF(ISNUMBER(R95),R95,IF(LEFT(R95,3)="BDI",HLOOKUP(R95,DADOS!$T$37:$X$38,2,FALSE),0)),15-11*$X$5)</f>
        <v>0.24</v>
      </c>
      <c r="AA95" s="1"/>
    </row>
    <row r="96" spans="1:27" x14ac:dyDescent="0.25">
      <c r="A96" t="str">
        <f t="shared" ref="A96:A100" si="52">CHOOSE(1+LOG(1+2*(J96="Meta")+4*(J96="Nível 2")+8*(J96="Nível 3")+16*(J96="Nível 4")+32*(J96="Serviço"),2),0,1,2,3,4,"S")</f>
        <v>S</v>
      </c>
      <c r="B96">
        <f t="shared" ref="B96:B100" si="53">IF(OR(A96="S",A96=0),0,IF(ISERROR(I96),H96,SMALL(H96:I96,1)))</f>
        <v>0</v>
      </c>
      <c r="C96">
        <f t="shared" ca="1" si="2"/>
        <v>5</v>
      </c>
      <c r="D96">
        <f t="shared" ca="1" si="3"/>
        <v>2</v>
      </c>
      <c r="E96">
        <f t="shared" ca="1" si="4"/>
        <v>1</v>
      </c>
      <c r="F96">
        <f t="shared" ca="1" si="5"/>
        <v>0</v>
      </c>
      <c r="G96">
        <f t="shared" ca="1" si="6"/>
        <v>2</v>
      </c>
      <c r="H96">
        <f t="shared" ca="1" si="41"/>
        <v>0</v>
      </c>
      <c r="I96">
        <f t="shared" ca="1" si="42"/>
        <v>0</v>
      </c>
      <c r="J96" s="354" t="s">
        <v>103</v>
      </c>
      <c r="K96" s="138" t="str">
        <f t="shared" ref="K96:K100" ca="1" si="54">IF($A96=0,"-",CONCATENATE(C96&amp;".",IF(AND($A$5&gt;=2,$A96&gt;=2),D96&amp;".",""),IF(AND($A$5&gt;=3,$A96&gt;=3),E96&amp;".",""),IF(AND($A$5&gt;=4,$A96&gt;=4),F96&amp;".",""),IF($A96="S",G96&amp;".","")))</f>
        <v>5.2.1.2.</v>
      </c>
      <c r="L96" s="355" t="s">
        <v>237</v>
      </c>
      <c r="M96" s="355" t="s">
        <v>247</v>
      </c>
      <c r="N96" s="356" t="s">
        <v>270</v>
      </c>
      <c r="O96" s="357" t="s">
        <v>249</v>
      </c>
      <c r="P96" s="358">
        <f>P90*30</f>
        <v>11812.5</v>
      </c>
      <c r="Q96" s="195"/>
      <c r="R96" s="198" t="s">
        <v>7</v>
      </c>
      <c r="S96" s="103">
        <f t="shared" si="10"/>
        <v>0</v>
      </c>
      <c r="T96" s="83">
        <f t="shared" si="11"/>
        <v>0</v>
      </c>
      <c r="U96" s="9" t="str">
        <f t="shared" si="12"/>
        <v>SEM VALOR</v>
      </c>
      <c r="V96" s="1" t="str">
        <f ca="1">IF(OR($A96=0,$A96="S",$A96&gt;CFF!$A$9),"",MAX(V$12:OFFSET(V96,-1,0))+1)</f>
        <v/>
      </c>
      <c r="W96" s="4" t="str">
        <f t="shared" si="13"/>
        <v>SICRO-5914612</v>
      </c>
      <c r="X96" s="1" t="e">
        <f t="shared" ca="1" si="14"/>
        <v>#N/A</v>
      </c>
      <c r="Y96" s="103">
        <v>1.46</v>
      </c>
      <c r="Z96" s="113">
        <f ca="1">ROUND(IF(ISNUMBER(R96),R96,IF(LEFT(R96,3)="BDI",HLOOKUP(R96,DADOS!$T$37:$X$38,2,FALSE),0)),15-11*$X$5)</f>
        <v>0.24</v>
      </c>
      <c r="AA96" s="1"/>
    </row>
    <row r="97" spans="1:27" ht="26.4" x14ac:dyDescent="0.25">
      <c r="A97" t="str">
        <f t="shared" si="52"/>
        <v>S</v>
      </c>
      <c r="B97">
        <f t="shared" si="53"/>
        <v>0</v>
      </c>
      <c r="C97">
        <f t="shared" ca="1" si="2"/>
        <v>5</v>
      </c>
      <c r="D97">
        <f t="shared" ca="1" si="3"/>
        <v>2</v>
      </c>
      <c r="E97">
        <f t="shared" ca="1" si="4"/>
        <v>1</v>
      </c>
      <c r="F97">
        <f t="shared" ca="1" si="5"/>
        <v>0</v>
      </c>
      <c r="G97">
        <f t="shared" ca="1" si="6"/>
        <v>3</v>
      </c>
      <c r="H97">
        <f t="shared" ca="1" si="41"/>
        <v>0</v>
      </c>
      <c r="I97">
        <f t="shared" ca="1" si="42"/>
        <v>0</v>
      </c>
      <c r="J97" s="354" t="s">
        <v>103</v>
      </c>
      <c r="K97" s="138" t="str">
        <f t="shared" ca="1" si="54"/>
        <v>5.2.1.3.</v>
      </c>
      <c r="L97" s="355" t="s">
        <v>253</v>
      </c>
      <c r="M97" s="355" t="s">
        <v>271</v>
      </c>
      <c r="N97" s="356" t="s">
        <v>291</v>
      </c>
      <c r="O97" s="357" t="s">
        <v>297</v>
      </c>
      <c r="P97" s="358">
        <f>(P88+P89)*0.0036*30</f>
        <v>680.4</v>
      </c>
      <c r="Q97" s="195"/>
      <c r="R97" s="198" t="s">
        <v>7</v>
      </c>
      <c r="S97" s="103">
        <f t="shared" si="10"/>
        <v>0</v>
      </c>
      <c r="T97" s="83">
        <f t="shared" si="11"/>
        <v>0</v>
      </c>
      <c r="U97" s="9" t="str">
        <f t="shared" si="12"/>
        <v>SEM VALOR</v>
      </c>
      <c r="V97" s="1" t="str">
        <f ca="1">IF(OR($A97=0,$A97="S",$A97&gt;CFF!$A$9),"",MAX(V$12:OFFSET(V97,-1,0))+1)</f>
        <v/>
      </c>
      <c r="W97" s="4" t="str">
        <f t="shared" si="13"/>
        <v>SINAPI-102330</v>
      </c>
      <c r="X97" s="1">
        <f t="shared" ca="1" si="14"/>
        <v>7339</v>
      </c>
      <c r="Y97" s="103">
        <v>1.84</v>
      </c>
      <c r="Z97" s="113">
        <f ca="1">ROUND(IF(ISNUMBER(R97),R97,IF(LEFT(R97,3)="BDI",HLOOKUP(R97,DADOS!$T$37:$X$38,2,FALSE),0)),15-11*$X$5)</f>
        <v>0.24</v>
      </c>
      <c r="AA97" s="1"/>
    </row>
    <row r="98" spans="1:27" x14ac:dyDescent="0.25">
      <c r="A98">
        <f t="shared" si="52"/>
        <v>2</v>
      </c>
      <c r="B98">
        <f t="shared" ca="1" si="53"/>
        <v>3</v>
      </c>
      <c r="C98">
        <f t="shared" ca="1" si="2"/>
        <v>5</v>
      </c>
      <c r="D98">
        <f t="shared" ca="1" si="3"/>
        <v>3</v>
      </c>
      <c r="E98">
        <f t="shared" ca="1" si="4"/>
        <v>0</v>
      </c>
      <c r="F98">
        <f t="shared" ca="1" si="5"/>
        <v>0</v>
      </c>
      <c r="G98">
        <f t="shared" ca="1" si="6"/>
        <v>0</v>
      </c>
      <c r="H98">
        <f t="shared" ca="1" si="41"/>
        <v>3</v>
      </c>
      <c r="I98" t="e">
        <f t="shared" ca="1" si="42"/>
        <v>#N/A</v>
      </c>
      <c r="J98" s="354" t="s">
        <v>100</v>
      </c>
      <c r="K98" s="138" t="str">
        <f t="shared" ca="1" si="54"/>
        <v>5.3.</v>
      </c>
      <c r="L98" s="355" t="s">
        <v>237</v>
      </c>
      <c r="M98" s="355"/>
      <c r="N98" s="356" t="s">
        <v>273</v>
      </c>
      <c r="O98" s="357" t="s">
        <v>106</v>
      </c>
      <c r="P98" s="358"/>
      <c r="Q98" s="195"/>
      <c r="R98" s="198" t="s">
        <v>7</v>
      </c>
      <c r="S98" s="103">
        <f t="shared" si="10"/>
        <v>0</v>
      </c>
      <c r="T98" s="83">
        <f t="shared" ca="1" si="11"/>
        <v>0</v>
      </c>
      <c r="U98" s="9" t="str">
        <f t="shared" ca="1" si="12"/>
        <v>SEM VALOR</v>
      </c>
      <c r="V98" s="1">
        <f ca="1">IF(OR($A98=0,$A98="S",$A98&gt;CFF!$A$9),"",MAX(V$12:OFFSET(V98,-1,0))+1)</f>
        <v>17</v>
      </c>
      <c r="W98" s="4" t="b">
        <f t="shared" si="13"/>
        <v>0</v>
      </c>
      <c r="X98" s="1" t="str">
        <f t="shared" ca="1" si="14"/>
        <v>X</v>
      </c>
      <c r="Y98" s="103">
        <v>0</v>
      </c>
      <c r="Z98" s="113">
        <f ca="1">ROUND(IF(ISNUMBER(R98),R98,IF(LEFT(R98,3)="BDI",HLOOKUP(R98,DADOS!$T$37:$X$38,2,FALSE),0)),15-11*$X$5)</f>
        <v>0.24</v>
      </c>
      <c r="AA98" s="1"/>
    </row>
    <row r="99" spans="1:27" ht="26.4" x14ac:dyDescent="0.25">
      <c r="A99" t="str">
        <f t="shared" si="52"/>
        <v>S</v>
      </c>
      <c r="B99">
        <f t="shared" si="53"/>
        <v>0</v>
      </c>
      <c r="C99">
        <f t="shared" ca="1" si="2"/>
        <v>5</v>
      </c>
      <c r="D99">
        <f t="shared" ca="1" si="3"/>
        <v>3</v>
      </c>
      <c r="E99">
        <f t="shared" ca="1" si="4"/>
        <v>0</v>
      </c>
      <c r="F99">
        <f t="shared" ca="1" si="5"/>
        <v>0</v>
      </c>
      <c r="G99">
        <f t="shared" ca="1" si="6"/>
        <v>1</v>
      </c>
      <c r="H99">
        <f t="shared" ca="1" si="41"/>
        <v>0</v>
      </c>
      <c r="I99">
        <f t="shared" ca="1" si="42"/>
        <v>0</v>
      </c>
      <c r="J99" s="354" t="s">
        <v>103</v>
      </c>
      <c r="K99" s="138" t="str">
        <f t="shared" ca="1" si="54"/>
        <v>5.3.0.1.</v>
      </c>
      <c r="L99" s="355" t="s">
        <v>253</v>
      </c>
      <c r="M99" s="355" t="s">
        <v>274</v>
      </c>
      <c r="N99" s="356" t="s">
        <v>292</v>
      </c>
      <c r="O99" s="357" t="s">
        <v>298</v>
      </c>
      <c r="P99" s="358">
        <f>P82*3</f>
        <v>1350</v>
      </c>
      <c r="Q99" s="195"/>
      <c r="R99" s="198" t="s">
        <v>7</v>
      </c>
      <c r="S99" s="103">
        <f t="shared" si="10"/>
        <v>0</v>
      </c>
      <c r="T99" s="83">
        <f t="shared" si="11"/>
        <v>0</v>
      </c>
      <c r="U99" s="9" t="str">
        <f t="shared" si="12"/>
        <v>SEM VALOR</v>
      </c>
      <c r="V99" s="1" t="str">
        <f ca="1">IF(OR($A99=0,$A99="S",$A99&gt;CFF!$A$9),"",MAX(V$12:OFFSET(V99,-1,0))+1)</f>
        <v/>
      </c>
      <c r="W99" s="4" t="str">
        <f t="shared" si="13"/>
        <v>SINAPI-102512</v>
      </c>
      <c r="X99" s="1">
        <f t="shared" ca="1" si="14"/>
        <v>6499</v>
      </c>
      <c r="Y99" s="103">
        <v>7.79</v>
      </c>
      <c r="Z99" s="113">
        <f ca="1">ROUND(IF(ISNUMBER(R99),R99,IF(LEFT(R99,3)="BDI",HLOOKUP(R99,DADOS!$T$37:$X$38,2,FALSE),0)),15-11*$X$5)</f>
        <v>0.24</v>
      </c>
      <c r="AA99" s="1"/>
    </row>
    <row r="100" spans="1:27" ht="26.4" x14ac:dyDescent="0.25">
      <c r="A100" t="str">
        <f t="shared" si="52"/>
        <v>S</v>
      </c>
      <c r="B100">
        <f t="shared" si="53"/>
        <v>0</v>
      </c>
      <c r="C100">
        <f t="shared" ca="1" si="2"/>
        <v>5</v>
      </c>
      <c r="D100">
        <f t="shared" ca="1" si="3"/>
        <v>3</v>
      </c>
      <c r="E100">
        <f t="shared" ca="1" si="4"/>
        <v>0</v>
      </c>
      <c r="F100">
        <f t="shared" ca="1" si="5"/>
        <v>0</v>
      </c>
      <c r="G100">
        <f t="shared" ca="1" si="6"/>
        <v>2</v>
      </c>
      <c r="H100">
        <f t="shared" ca="1" si="41"/>
        <v>0</v>
      </c>
      <c r="I100">
        <f t="shared" ca="1" si="42"/>
        <v>0</v>
      </c>
      <c r="J100" s="354" t="s">
        <v>103</v>
      </c>
      <c r="K100" s="138" t="str">
        <f t="shared" ca="1" si="54"/>
        <v>5.3.0.2.</v>
      </c>
      <c r="L100" s="355" t="s">
        <v>256</v>
      </c>
      <c r="M100" s="355" t="s">
        <v>275</v>
      </c>
      <c r="N100" s="356" t="s">
        <v>293</v>
      </c>
      <c r="O100" s="357" t="s">
        <v>299</v>
      </c>
      <c r="P100" s="358">
        <v>1</v>
      </c>
      <c r="Q100" s="195"/>
      <c r="R100" s="198" t="s">
        <v>7</v>
      </c>
      <c r="S100" s="103">
        <f t="shared" si="10"/>
        <v>0</v>
      </c>
      <c r="T100" s="83">
        <f t="shared" si="11"/>
        <v>0</v>
      </c>
      <c r="U100" s="9" t="str">
        <f t="shared" si="12"/>
        <v>SEM VALOR</v>
      </c>
      <c r="V100" s="1" t="str">
        <f ca="1">IF(OR($A100=0,$A100="S",$A100&gt;CFF!$A$9),"",MAX(V$12:OFFSET(V100,-1,0))+1)</f>
        <v/>
      </c>
      <c r="W100" s="4" t="str">
        <f t="shared" si="13"/>
        <v>PM BENTO-11</v>
      </c>
      <c r="X100" s="1">
        <f t="shared" ca="1" si="14"/>
        <v>16</v>
      </c>
      <c r="Y100" s="103">
        <v>829.11</v>
      </c>
      <c r="Z100" s="113">
        <f ca="1">ROUND(IF(ISNUMBER(R100),R100,IF(LEFT(R100,3)="BDI",HLOOKUP(R100,DADOS!$T$37:$X$38,2,FALSE),0)),15-11*$X$5)</f>
        <v>0.24</v>
      </c>
      <c r="AA100" s="1"/>
    </row>
    <row r="101" spans="1:27" x14ac:dyDescent="0.25">
      <c r="A101">
        <f>CHOOSE(1+LOG(1+2*(J101="Meta")+4*(J101="Nível 2")+8*(J101="Nível 3")+16*(J101="Nível 4")+32*(J101="Serviço"),2),0,1,2,3,4,"S")</f>
        <v>1</v>
      </c>
      <c r="B101">
        <f ca="1">IF(OR(A101="S",A101=0),0,IF(ISERROR(I101),H101,SMALL(H101:I101,1)))</f>
        <v>20</v>
      </c>
      <c r="C101">
        <f ca="1">IF($A101=1,OFFSET(C101,-1,0)+1,OFFSET(C101,-1,0))</f>
        <v>6</v>
      </c>
      <c r="D101">
        <f ca="1">IF($A101=1,0,IF($A101=2,OFFSET(D101,-1,0)+1,OFFSET(D101,-1,0)))</f>
        <v>0</v>
      </c>
      <c r="E101">
        <f ca="1">IF(AND($A101&lt;=2,$A101&lt;&gt;0),0,IF($A101=3,OFFSET(E101,-1,0)+1,OFFSET(E101,-1,0)))</f>
        <v>0</v>
      </c>
      <c r="F101">
        <f ca="1">IF(AND($A101&lt;=3,$A101&lt;&gt;0),0,IF($A101=4,OFFSET(F101,-1,0)+1,OFFSET(F101,-1,0)))</f>
        <v>0</v>
      </c>
      <c r="G101">
        <f ca="1">IF(AND($A101&lt;=4,$A101&lt;&gt;0),0,IF($A101="S",OFFSET(G101,-1,0)+1,OFFSET(G101,-1,0)))</f>
        <v>0</v>
      </c>
      <c r="H101">
        <f t="shared" ca="1" si="41"/>
        <v>20</v>
      </c>
      <c r="I101" t="e">
        <f t="shared" ca="1" si="42"/>
        <v>#N/A</v>
      </c>
      <c r="J101" s="354" t="s">
        <v>99</v>
      </c>
      <c r="K101" s="138" t="str">
        <f ca="1">IF($A101=0,"-",CONCATENATE(C101&amp;".",IF(AND($A$5&gt;=2,$A101&gt;=2),D101&amp;".",""),IF(AND($A$5&gt;=3,$A101&gt;=3),E101&amp;".",""),IF(AND($A$5&gt;=4,$A101&gt;=4),F101&amp;".",""),IF($A101="S",G101&amp;".","")))</f>
        <v>6.</v>
      </c>
      <c r="L101" s="355"/>
      <c r="M101" s="355"/>
      <c r="N101" s="356" t="s">
        <v>281</v>
      </c>
      <c r="O101" s="357" t="s">
        <v>106</v>
      </c>
      <c r="P101" s="358"/>
      <c r="Q101" s="195"/>
      <c r="R101" s="198" t="s">
        <v>7</v>
      </c>
      <c r="S101" s="103">
        <f>IF($A101="S",IF($Q$10="Preço Unitário (R$)",PO.CustoUnitario,ROUND(PO.CustoUnitario*(1+$Z101),15-13*$X$6)),0)</f>
        <v>0</v>
      </c>
      <c r="T101" s="83">
        <f ca="1">IF($A101="S",VTOTAL1,IF($A101=0,0,ROUND(SomaAgrup,15-13*$X$7)))</f>
        <v>0</v>
      </c>
      <c r="U101" s="9" t="str">
        <f ca="1">IF($J101="","",IF($N101="","DESCRIÇÃO",IF(AND($J101="Serviço",$O101=""),"UNIDADE",IF($T101&lt;=0,"SEM VALOR",IF(AND($Y101&lt;&gt;"",$Q101&gt;$Y101),"ACIMA REF.","")))))</f>
        <v>SEM VALOR</v>
      </c>
      <c r="V101" s="1">
        <f ca="1">IF(OR($A101=0,$A101="S",$A101&gt;CFF!$A$9),"",MAX(V$12:OFFSET(V101,-1,0))+1)</f>
        <v>18</v>
      </c>
      <c r="W101" s="4" t="b">
        <f>IF(AND($J101="Serviço",$M101&lt;&gt;""),IF($L101="",$M101,CONCATENATE($L101,"-",$M101)))</f>
        <v>0</v>
      </c>
      <c r="X101" s="1" t="str">
        <f ca="1">IF(AND(Fonte&lt;&gt;"",Código&lt;&gt;""),MATCH(Fonte&amp;" "&amp;IF(Fonte="sinapi",SUBSTITUTE(SUBSTITUTE(Código,"/00","/"),"/0","/"),Código),INDIRECT("'[Referência "&amp;_xlnm.Database&amp;".xls]Banco'!$a:$a"),0),"X")</f>
        <v>X</v>
      </c>
      <c r="Y101" s="103">
        <v>0</v>
      </c>
      <c r="Z101" s="113">
        <f ca="1">ROUND(IF(ISNUMBER(R101),R101,IF(LEFT(R101,3)="BDI",HLOOKUP(R101,DADOS!$T$37:$X$38,2,FALSE),0)),15-11*$X$5)</f>
        <v>0.24</v>
      </c>
      <c r="AA101" s="1"/>
    </row>
    <row r="102" spans="1:27" x14ac:dyDescent="0.25">
      <c r="A102">
        <f t="shared" ref="A102" si="55">CHOOSE(1+LOG(1+2*(J102="Meta")+4*(J102="Nível 2")+8*(J102="Nível 3")+16*(J102="Nível 4")+32*(J102="Serviço"),2),0,1,2,3,4,"S")</f>
        <v>2</v>
      </c>
      <c r="B102">
        <f t="shared" ref="B102" ca="1" si="56">IF(OR(A102="S",A102=0),0,IF(ISERROR(I102),H102,SMALL(H102:I102,1)))</f>
        <v>6</v>
      </c>
      <c r="C102">
        <f t="shared" ca="1" si="2"/>
        <v>6</v>
      </c>
      <c r="D102">
        <f t="shared" ca="1" si="3"/>
        <v>1</v>
      </c>
      <c r="E102">
        <f t="shared" ca="1" si="4"/>
        <v>0</v>
      </c>
      <c r="F102">
        <f t="shared" ca="1" si="5"/>
        <v>0</v>
      </c>
      <c r="G102">
        <f t="shared" ca="1" si="6"/>
        <v>0</v>
      </c>
      <c r="H102">
        <f t="shared" ca="1" si="41"/>
        <v>19</v>
      </c>
      <c r="I102">
        <f t="shared" ca="1" si="42"/>
        <v>6</v>
      </c>
      <c r="J102" s="354" t="s">
        <v>100</v>
      </c>
      <c r="K102" s="138" t="str">
        <f t="shared" ref="K102" ca="1" si="57">IF($A102=0,"-",CONCATENATE(C102&amp;".",IF(AND($A$5&gt;=2,$A102&gt;=2),D102&amp;".",""),IF(AND($A$5&gt;=3,$A102&gt;=3),E102&amp;".",""),IF(AND($A$5&gt;=4,$A102&gt;=4),F102&amp;".",""),IF($A102="S",G102&amp;".","")))</f>
        <v>6.1.</v>
      </c>
      <c r="L102" s="355"/>
      <c r="M102" s="355"/>
      <c r="N102" s="356" t="s">
        <v>258</v>
      </c>
      <c r="O102" s="357" t="s">
        <v>106</v>
      </c>
      <c r="P102" s="358"/>
      <c r="Q102" s="195"/>
      <c r="R102" s="198" t="s">
        <v>7</v>
      </c>
      <c r="S102" s="103">
        <f t="shared" si="10"/>
        <v>0</v>
      </c>
      <c r="T102" s="83">
        <f t="shared" ca="1" si="11"/>
        <v>0</v>
      </c>
      <c r="U102" s="9" t="str">
        <f t="shared" ca="1" si="12"/>
        <v>SEM VALOR</v>
      </c>
      <c r="V102" s="1">
        <f ca="1">IF(OR($A102=0,$A102="S",$A102&gt;CFF!$A$9),"",MAX(V$12:OFFSET(V102,-1,0))+1)</f>
        <v>19</v>
      </c>
      <c r="W102" s="4" t="b">
        <f t="shared" si="13"/>
        <v>0</v>
      </c>
      <c r="X102" s="1" t="str">
        <f t="shared" ca="1" si="14"/>
        <v>X</v>
      </c>
      <c r="Y102" s="103">
        <v>0</v>
      </c>
      <c r="Z102" s="113">
        <f ca="1">ROUND(IF(ISNUMBER(R102),R102,IF(LEFT(R102,3)="BDI",HLOOKUP(R102,DADOS!$T$37:$X$38,2,FALSE),0)),15-11*$X$5)</f>
        <v>0.24</v>
      </c>
      <c r="AA102" s="1"/>
    </row>
    <row r="103" spans="1:27" x14ac:dyDescent="0.25">
      <c r="A103" t="str">
        <f>CHOOSE(1+LOG(1+2*(J103="Meta")+4*(J103="Nível 2")+8*(J103="Nível 3")+16*(J103="Nível 4")+32*(J103="Serviço"),2),0,1,2,3,4,"S")</f>
        <v>S</v>
      </c>
      <c r="B103">
        <f>IF(OR(A103="S",A103=0),0,IF(ISERROR(I103),H103,SMALL(H103:I103,1)))</f>
        <v>0</v>
      </c>
      <c r="C103">
        <f ca="1">IF($A103=1,OFFSET(C103,-1,0)+1,OFFSET(C103,-1,0))</f>
        <v>6</v>
      </c>
      <c r="D103">
        <f ca="1">IF($A103=1,0,IF($A103=2,OFFSET(D103,-1,0)+1,OFFSET(D103,-1,0)))</f>
        <v>1</v>
      </c>
      <c r="E103">
        <f ca="1">IF(AND($A103&lt;=2,$A103&lt;&gt;0),0,IF($A103=3,OFFSET(E103,-1,0)+1,OFFSET(E103,-1,0)))</f>
        <v>0</v>
      </c>
      <c r="F103">
        <f ca="1">IF(AND($A103&lt;=3,$A103&lt;&gt;0),0,IF($A103=4,OFFSET(F103,-1,0)+1,OFFSET(F103,-1,0)))</f>
        <v>0</v>
      </c>
      <c r="G103">
        <f ca="1">IF(AND($A103&lt;=4,$A103&lt;&gt;0),0,IF($A103="S",OFFSET(G103,-1,0)+1,OFFSET(G103,-1,0)))</f>
        <v>1</v>
      </c>
      <c r="H103">
        <f t="shared" ca="1" si="41"/>
        <v>0</v>
      </c>
      <c r="I103">
        <f t="shared" ca="1" si="42"/>
        <v>0</v>
      </c>
      <c r="J103" s="354" t="s">
        <v>103</v>
      </c>
      <c r="K103" s="138" t="str">
        <f ca="1">IF($A103=0,"-",CONCATENATE(C103&amp;".",IF(AND($A$5&gt;=2,$A103&gt;=2),D103&amp;".",""),IF(AND($A$5&gt;=3,$A103&gt;=3),E103&amp;".",""),IF(AND($A$5&gt;=4,$A103&gt;=4),F103&amp;".",""),IF($A103="S",G103&amp;".","")))</f>
        <v>6.1.0.1.</v>
      </c>
      <c r="L103" s="355" t="s">
        <v>256</v>
      </c>
      <c r="M103" s="355" t="s">
        <v>257</v>
      </c>
      <c r="N103" s="356" t="s">
        <v>290</v>
      </c>
      <c r="O103" s="357" t="s">
        <v>296</v>
      </c>
      <c r="P103" s="358">
        <v>80</v>
      </c>
      <c r="Q103" s="195"/>
      <c r="R103" s="198" t="s">
        <v>7</v>
      </c>
      <c r="S103" s="103">
        <f>IF($A103="S",IF($Q$10="Preço Unitário (R$)",PO.CustoUnitario,ROUND(PO.CustoUnitario*(1+$Z103),15-13*$X$6)),0)</f>
        <v>0</v>
      </c>
      <c r="T103" s="83">
        <f>IF($A103="S",VTOTAL1,IF($A103=0,0,ROUND(SomaAgrup,15-13*$X$7)))</f>
        <v>0</v>
      </c>
      <c r="U103" s="9" t="str">
        <f>IF($J103="","",IF($N103="","DESCRIÇÃO",IF(AND($J103="Serviço",$O103=""),"UNIDADE",IF($T103&lt;=0,"SEM VALOR",IF(AND($Y103&lt;&gt;"",$Q103&gt;$Y103),"ACIMA REF.","")))))</f>
        <v>SEM VALOR</v>
      </c>
      <c r="V103" s="1" t="str">
        <f ca="1">IF(OR($A103=0,$A103="S",$A103&gt;CFF!$A$9),"",MAX(V$12:OFFSET(V103,-1,0))+1)</f>
        <v/>
      </c>
      <c r="W103" s="4" t="str">
        <f>IF(AND($J103="Serviço",$M103&lt;&gt;""),IF($L103="",$M103,CONCATENATE($L103,"-",$M103)))</f>
        <v>PM BENTO-78</v>
      </c>
      <c r="X103" s="1">
        <f t="shared" ca="1" si="14"/>
        <v>82</v>
      </c>
      <c r="Y103" s="103">
        <v>4.79</v>
      </c>
      <c r="Z103" s="113">
        <f ca="1">ROUND(IF(ISNUMBER(R103),R103,IF(LEFT(R103,3)="BDI",HLOOKUP(R103,DADOS!$T$37:$X$38,2,FALSE),0)),15-11*$X$5)</f>
        <v>0.24</v>
      </c>
      <c r="AA103" s="1"/>
    </row>
    <row r="104" spans="1:27" ht="26.4" x14ac:dyDescent="0.25">
      <c r="A104" t="str">
        <f>CHOOSE(1+LOG(1+2*(J104="Meta")+4*(J104="Nível 2")+8*(J104="Nível 3")+16*(J104="Nível 4")+32*(J104="Serviço"),2),0,1,2,3,4,"S")</f>
        <v>S</v>
      </c>
      <c r="B104">
        <f>IF(OR(A104="S",A104=0),0,IF(ISERROR(I104),H104,SMALL(H104:I104,1)))</f>
        <v>0</v>
      </c>
      <c r="C104">
        <f ca="1">IF($A104=1,OFFSET(C104,-1,0)+1,OFFSET(C104,-1,0))</f>
        <v>6</v>
      </c>
      <c r="D104">
        <f ca="1">IF($A104=1,0,IF($A104=2,OFFSET(D104,-1,0)+1,OFFSET(D104,-1,0)))</f>
        <v>1</v>
      </c>
      <c r="E104">
        <f ca="1">IF(AND($A104&lt;=2,$A104&lt;&gt;0),0,IF($A104=3,OFFSET(E104,-1,0)+1,OFFSET(E104,-1,0)))</f>
        <v>0</v>
      </c>
      <c r="F104">
        <f ca="1">IF(AND($A104&lt;=3,$A104&lt;&gt;0),0,IF($A104=4,OFFSET(F104,-1,0)+1,OFFSET(F104,-1,0)))</f>
        <v>0</v>
      </c>
      <c r="G104">
        <f ca="1">IF(AND($A104&lt;=4,$A104&lt;&gt;0),0,IF($A104="S",OFFSET(G104,-1,0)+1,OFFSET(G104,-1,0)))</f>
        <v>2</v>
      </c>
      <c r="H104">
        <f ca="1">IF(OR($A104="S",$A104=0),0,MATCH(0,OFFSET($B104,1,$A104,ROW($A$121)-ROW($A104)),0))</f>
        <v>0</v>
      </c>
      <c r="I104">
        <f ca="1">IF(OR($A104="S",$A104=0),0,MATCH(OFFSET($B104,0,$A104)+1,OFFSET($B104,1,$A104,ROW($A$121)-ROW($A104)),0))</f>
        <v>0</v>
      </c>
      <c r="J104" s="354" t="s">
        <v>103</v>
      </c>
      <c r="K104" s="138" t="str">
        <f ca="1">IF($A104=0,"-",CONCATENATE(C104&amp;".",IF(AND($A$5&gt;=2,$A104&gt;=2),D104&amp;".",""),IF(AND($A$5&gt;=3,$A104&gt;=3),E104&amp;".",""),IF(AND($A$5&gt;=4,$A104&gt;=4),F104&amp;".",""),IF($A104="S",G104&amp;".","")))</f>
        <v>6.1.0.2.</v>
      </c>
      <c r="L104" s="355" t="s">
        <v>237</v>
      </c>
      <c r="M104" s="355" t="s">
        <v>284</v>
      </c>
      <c r="N104" s="356" t="s">
        <v>285</v>
      </c>
      <c r="O104" s="357" t="s">
        <v>238</v>
      </c>
      <c r="P104" s="358">
        <f>P103*7*0.5</f>
        <v>280</v>
      </c>
      <c r="Q104" s="195"/>
      <c r="R104" s="198" t="s">
        <v>7</v>
      </c>
      <c r="S104" s="103">
        <f>IF($A104="S",IF($Q$10="Preço Unitário (R$)",PO.CustoUnitario,ROUND(PO.CustoUnitario*(1+$Z104),15-13*$X$6)),0)</f>
        <v>0</v>
      </c>
      <c r="T104" s="83">
        <f>IF($A104="S",VTOTAL1,IF($A104=0,0,ROUND(SomaAgrup,15-13*$X$7)))</f>
        <v>0</v>
      </c>
      <c r="U104" s="9" t="str">
        <f>IF($J104="","",IF($N104="","DESCRIÇÃO",IF(AND($J104="Serviço",$O104=""),"UNIDADE",IF($T104&lt;=0,"SEM VALOR",IF(AND($Y104&lt;&gt;"",$Q104&gt;$Y104),"ACIMA REF.","")))))</f>
        <v>SEM VALOR</v>
      </c>
      <c r="V104" s="1" t="str">
        <f ca="1">IF(OR($A104=0,$A104="S",$A104&gt;CFF!$A$9),"",MAX(V$12:OFFSET(V104,-1,0))+1)</f>
        <v/>
      </c>
      <c r="W104" s="4" t="str">
        <f>IF(AND($J104="Serviço",$M104&lt;&gt;""),IF($L104="",$M104,CONCATENATE($L104,"-",$M104)))</f>
        <v>SICRO-5501880</v>
      </c>
      <c r="X104" s="1" t="e">
        <f ca="1">IF(AND(Fonte&lt;&gt;"",Código&lt;&gt;""),MATCH(Fonte&amp;" "&amp;IF(Fonte="sinapi",SUBSTITUTE(SUBSTITUTE(Código,"/00","/"),"/0","/"),Código),INDIRECT("'[Referência "&amp;_xlnm.Database&amp;".xls]Banco'!$a:$a"),0),"X")</f>
        <v>#N/A</v>
      </c>
      <c r="Y104" s="103">
        <v>14.92</v>
      </c>
      <c r="Z104" s="113">
        <f ca="1">ROUND(IF(ISNUMBER(R104),R104,IF(LEFT(R104,3)="BDI",HLOOKUP(R104,DADOS!$T$37:$X$38,2,FALSE),0)),15-11*$X$5)</f>
        <v>0.24</v>
      </c>
      <c r="AA104" s="1"/>
    </row>
    <row r="105" spans="1:27" x14ac:dyDescent="0.25">
      <c r="A105" t="str">
        <f t="shared" ref="A105:A109" si="58">CHOOSE(1+LOG(1+2*(J105="Meta")+4*(J105="Nível 2")+8*(J105="Nível 3")+16*(J105="Nível 4")+32*(J105="Serviço"),2),0,1,2,3,4,"S")</f>
        <v>S</v>
      </c>
      <c r="B105">
        <f t="shared" ref="B105:B109" si="59">IF(OR(A105="S",A105=0),0,IF(ISERROR(I105),H105,SMALL(H105:I105,1)))</f>
        <v>0</v>
      </c>
      <c r="C105">
        <f t="shared" ca="1" si="2"/>
        <v>6</v>
      </c>
      <c r="D105">
        <f t="shared" ca="1" si="3"/>
        <v>1</v>
      </c>
      <c r="E105">
        <f t="shared" ca="1" si="4"/>
        <v>0</v>
      </c>
      <c r="F105">
        <f t="shared" ca="1" si="5"/>
        <v>0</v>
      </c>
      <c r="G105">
        <f t="shared" ca="1" si="6"/>
        <v>3</v>
      </c>
      <c r="H105">
        <f t="shared" ca="1" si="41"/>
        <v>0</v>
      </c>
      <c r="I105">
        <f t="shared" ca="1" si="42"/>
        <v>0</v>
      </c>
      <c r="J105" s="354" t="s">
        <v>103</v>
      </c>
      <c r="K105" s="138" t="str">
        <f t="shared" ref="K105:K109" ca="1" si="60">IF($A105=0,"-",CONCATENATE(C105&amp;".",IF(AND($A$5&gt;=2,$A105&gt;=2),D105&amp;".",""),IF(AND($A$5&gt;=3,$A105&gt;=3),E105&amp;".",""),IF(AND($A$5&gt;=4,$A105&gt;=4),F105&amp;".",""),IF($A105="S",G105&amp;".","")))</f>
        <v>6.1.0.3.</v>
      </c>
      <c r="L105" s="355" t="s">
        <v>237</v>
      </c>
      <c r="M105" s="355" t="s">
        <v>239</v>
      </c>
      <c r="N105" s="356" t="s">
        <v>240</v>
      </c>
      <c r="O105" s="357" t="s">
        <v>238</v>
      </c>
      <c r="P105" s="358">
        <f>P103*0.25*7</f>
        <v>140</v>
      </c>
      <c r="Q105" s="195"/>
      <c r="R105" s="198" t="s">
        <v>7</v>
      </c>
      <c r="S105" s="103">
        <f t="shared" si="10"/>
        <v>0</v>
      </c>
      <c r="T105" s="83">
        <f t="shared" si="11"/>
        <v>0</v>
      </c>
      <c r="U105" s="9" t="str">
        <f t="shared" si="12"/>
        <v>SEM VALOR</v>
      </c>
      <c r="V105" s="1" t="str">
        <f ca="1">IF(OR($A105=0,$A105="S",$A105&gt;CFF!$A$9),"",MAX(V$12:OFFSET(V105,-1,0))+1)</f>
        <v/>
      </c>
      <c r="W105" s="4" t="str">
        <f t="shared" si="13"/>
        <v>SICRO-4011211</v>
      </c>
      <c r="X105" s="1" t="e">
        <f t="shared" ca="1" si="14"/>
        <v>#N/A</v>
      </c>
      <c r="Y105" s="103">
        <v>14.47</v>
      </c>
      <c r="Z105" s="113">
        <f ca="1">ROUND(IF(ISNUMBER(R105),R105,IF(LEFT(R105,3)="BDI",HLOOKUP(R105,DADOS!$T$37:$X$38,2,FALSE),0)),15-11*$X$5)</f>
        <v>0.24</v>
      </c>
      <c r="AA105" s="1"/>
    </row>
    <row r="106" spans="1:27" x14ac:dyDescent="0.25">
      <c r="A106" t="str">
        <f t="shared" si="58"/>
        <v>S</v>
      </c>
      <c r="B106">
        <f t="shared" si="59"/>
        <v>0</v>
      </c>
      <c r="C106">
        <f t="shared" ca="1" si="2"/>
        <v>6</v>
      </c>
      <c r="D106">
        <f t="shared" ca="1" si="3"/>
        <v>1</v>
      </c>
      <c r="E106">
        <f t="shared" ca="1" si="4"/>
        <v>0</v>
      </c>
      <c r="F106">
        <f t="shared" ca="1" si="5"/>
        <v>0</v>
      </c>
      <c r="G106">
        <f t="shared" ca="1" si="6"/>
        <v>4</v>
      </c>
      <c r="H106">
        <f t="shared" ca="1" si="41"/>
        <v>0</v>
      </c>
      <c r="I106">
        <f t="shared" ca="1" si="42"/>
        <v>0</v>
      </c>
      <c r="J106" s="354" t="s">
        <v>103</v>
      </c>
      <c r="K106" s="138" t="str">
        <f t="shared" ca="1" si="60"/>
        <v>6.1.0.4.</v>
      </c>
      <c r="L106" s="355" t="s">
        <v>237</v>
      </c>
      <c r="M106" s="355" t="s">
        <v>244</v>
      </c>
      <c r="N106" s="356" t="s">
        <v>243</v>
      </c>
      <c r="O106" s="357" t="s">
        <v>238</v>
      </c>
      <c r="P106" s="358">
        <f>P103*0.25*7</f>
        <v>140</v>
      </c>
      <c r="Q106" s="195"/>
      <c r="R106" s="198" t="s">
        <v>7</v>
      </c>
      <c r="S106" s="103">
        <f t="shared" si="10"/>
        <v>0</v>
      </c>
      <c r="T106" s="83">
        <f t="shared" si="11"/>
        <v>0</v>
      </c>
      <c r="U106" s="9" t="str">
        <f t="shared" si="12"/>
        <v>SEM VALOR</v>
      </c>
      <c r="V106" s="1" t="str">
        <f ca="1">IF(OR($A106=0,$A106="S",$A106&gt;CFF!$A$9),"",MAX(V$12:OFFSET(V106,-1,0))+1)</f>
        <v/>
      </c>
      <c r="W106" s="4" t="str">
        <f t="shared" si="13"/>
        <v>SICRO-4011276</v>
      </c>
      <c r="X106" s="1" t="e">
        <f t="shared" ca="1" si="14"/>
        <v>#N/A</v>
      </c>
      <c r="Y106" s="103">
        <v>235.61</v>
      </c>
      <c r="Z106" s="113">
        <f ca="1">ROUND(IF(ISNUMBER(R106),R106,IF(LEFT(R106,3)="BDI",HLOOKUP(R106,DADOS!$T$37:$X$38,2,FALSE),0)),15-11*$X$5)</f>
        <v>0.24</v>
      </c>
      <c r="AA106" s="1"/>
    </row>
    <row r="107" spans="1:27" x14ac:dyDescent="0.25">
      <c r="A107" t="str">
        <f t="shared" si="58"/>
        <v>S</v>
      </c>
      <c r="B107">
        <f t="shared" si="59"/>
        <v>0</v>
      </c>
      <c r="C107">
        <f t="shared" ca="1" si="2"/>
        <v>6</v>
      </c>
      <c r="D107">
        <f t="shared" ca="1" si="3"/>
        <v>1</v>
      </c>
      <c r="E107">
        <f t="shared" ca="1" si="4"/>
        <v>0</v>
      </c>
      <c r="F107">
        <f t="shared" ca="1" si="5"/>
        <v>0</v>
      </c>
      <c r="G107">
        <f t="shared" ca="1" si="6"/>
        <v>5</v>
      </c>
      <c r="H107">
        <f t="shared" ca="1" si="41"/>
        <v>0</v>
      </c>
      <c r="I107">
        <f t="shared" ca="1" si="42"/>
        <v>0</v>
      </c>
      <c r="J107" s="354" t="s">
        <v>103</v>
      </c>
      <c r="K107" s="138" t="str">
        <f t="shared" ca="1" si="60"/>
        <v>6.1.0.5.</v>
      </c>
      <c r="L107" s="355" t="s">
        <v>237</v>
      </c>
      <c r="M107" s="355" t="s">
        <v>241</v>
      </c>
      <c r="N107" s="356" t="s">
        <v>272</v>
      </c>
      <c r="O107" s="357" t="s">
        <v>242</v>
      </c>
      <c r="P107" s="358">
        <f>((P105+P106)*1.8)*30</f>
        <v>15120</v>
      </c>
      <c r="Q107" s="195"/>
      <c r="R107" s="198" t="s">
        <v>7</v>
      </c>
      <c r="S107" s="103">
        <f t="shared" si="10"/>
        <v>0</v>
      </c>
      <c r="T107" s="83">
        <f t="shared" si="11"/>
        <v>0</v>
      </c>
      <c r="U107" s="9" t="str">
        <f t="shared" si="12"/>
        <v>SEM VALOR</v>
      </c>
      <c r="V107" s="1" t="str">
        <f ca="1">IF(OR($A107=0,$A107="S",$A107&gt;CFF!$A$9),"",MAX(V$12:OFFSET(V107,-1,0))+1)</f>
        <v/>
      </c>
      <c r="W107" s="4" t="str">
        <f t="shared" si="13"/>
        <v>SICRO-5914389</v>
      </c>
      <c r="X107" s="1" t="e">
        <f t="shared" ca="1" si="14"/>
        <v>#N/A</v>
      </c>
      <c r="Y107" s="103">
        <v>1</v>
      </c>
      <c r="Z107" s="113">
        <f ca="1">ROUND(IF(ISNUMBER(R107),R107,IF(LEFT(R107,3)="BDI",HLOOKUP(R107,DADOS!$T$37:$X$38,2,FALSE),0)),15-11*$X$5)</f>
        <v>0.24</v>
      </c>
      <c r="AA107" s="1"/>
    </row>
    <row r="108" spans="1:27" x14ac:dyDescent="0.25">
      <c r="A108">
        <f t="shared" si="58"/>
        <v>2</v>
      </c>
      <c r="B108">
        <f t="shared" ca="1" si="59"/>
        <v>11</v>
      </c>
      <c r="C108">
        <f t="shared" ca="1" si="2"/>
        <v>6</v>
      </c>
      <c r="D108">
        <f t="shared" ca="1" si="3"/>
        <v>2</v>
      </c>
      <c r="E108">
        <f t="shared" ca="1" si="4"/>
        <v>0</v>
      </c>
      <c r="F108">
        <f t="shared" ca="1" si="5"/>
        <v>0</v>
      </c>
      <c r="G108">
        <f t="shared" ca="1" si="6"/>
        <v>0</v>
      </c>
      <c r="H108">
        <f t="shared" ca="1" si="41"/>
        <v>13</v>
      </c>
      <c r="I108">
        <f t="shared" ca="1" si="42"/>
        <v>11</v>
      </c>
      <c r="J108" s="354" t="s">
        <v>100</v>
      </c>
      <c r="K108" s="138" t="str">
        <f t="shared" ca="1" si="60"/>
        <v>6.2.</v>
      </c>
      <c r="L108" s="355"/>
      <c r="M108" s="355"/>
      <c r="N108" s="356" t="s">
        <v>259</v>
      </c>
      <c r="O108" s="357" t="s">
        <v>106</v>
      </c>
      <c r="P108" s="358"/>
      <c r="Q108" s="195"/>
      <c r="R108" s="198" t="s">
        <v>7</v>
      </c>
      <c r="S108" s="103">
        <f t="shared" si="10"/>
        <v>0</v>
      </c>
      <c r="T108" s="83">
        <f t="shared" ca="1" si="11"/>
        <v>0</v>
      </c>
      <c r="U108" s="9" t="str">
        <f t="shared" ca="1" si="12"/>
        <v>SEM VALOR</v>
      </c>
      <c r="V108" s="1">
        <f ca="1">IF(OR($A108=0,$A108="S",$A108&gt;CFF!$A$9),"",MAX(V$12:OFFSET(V108,-1,0))+1)</f>
        <v>20</v>
      </c>
      <c r="W108" s="4" t="b">
        <f t="shared" si="13"/>
        <v>0</v>
      </c>
      <c r="X108" s="1" t="str">
        <f t="shared" ca="1" si="14"/>
        <v>X</v>
      </c>
      <c r="Y108" s="103">
        <v>0</v>
      </c>
      <c r="Z108" s="113">
        <f ca="1">ROUND(IF(ISNUMBER(R108),R108,IF(LEFT(R108,3)="BDI",HLOOKUP(R108,DADOS!$T$37:$X$38,2,FALSE),0)),15-11*$X$5)</f>
        <v>0.24</v>
      </c>
      <c r="AA108" s="1"/>
    </row>
    <row r="109" spans="1:27" x14ac:dyDescent="0.25">
      <c r="A109" t="str">
        <f t="shared" si="58"/>
        <v>S</v>
      </c>
      <c r="B109">
        <f t="shared" si="59"/>
        <v>0</v>
      </c>
      <c r="C109">
        <f t="shared" ca="1" si="2"/>
        <v>6</v>
      </c>
      <c r="D109">
        <f t="shared" ca="1" si="3"/>
        <v>2</v>
      </c>
      <c r="E109">
        <f t="shared" ca="1" si="4"/>
        <v>0</v>
      </c>
      <c r="F109">
        <f t="shared" ca="1" si="5"/>
        <v>0</v>
      </c>
      <c r="G109">
        <f t="shared" ca="1" si="6"/>
        <v>1</v>
      </c>
      <c r="H109">
        <f t="shared" ca="1" si="41"/>
        <v>0</v>
      </c>
      <c r="I109">
        <f t="shared" ca="1" si="42"/>
        <v>0</v>
      </c>
      <c r="J109" s="354" t="s">
        <v>103</v>
      </c>
      <c r="K109" s="138" t="str">
        <f t="shared" ca="1" si="60"/>
        <v>6.2.0.1.</v>
      </c>
      <c r="L109" s="355" t="s">
        <v>237</v>
      </c>
      <c r="M109" s="355" t="s">
        <v>245</v>
      </c>
      <c r="N109" s="356" t="s">
        <v>246</v>
      </c>
      <c r="O109" s="357" t="s">
        <v>248</v>
      </c>
      <c r="P109" s="358">
        <f>P103*7</f>
        <v>560</v>
      </c>
      <c r="Q109" s="195"/>
      <c r="R109" s="198" t="s">
        <v>7</v>
      </c>
      <c r="S109" s="103">
        <f t="shared" si="10"/>
        <v>0</v>
      </c>
      <c r="T109" s="83">
        <f t="shared" si="11"/>
        <v>0</v>
      </c>
      <c r="U109" s="9" t="str">
        <f t="shared" si="12"/>
        <v>SEM VALOR</v>
      </c>
      <c r="V109" s="1" t="str">
        <f ca="1">IF(OR($A109=0,$A109="S",$A109&gt;CFF!$A$9),"",MAX(V$12:OFFSET(V109,-1,0))+1)</f>
        <v/>
      </c>
      <c r="W109" s="4" t="str">
        <f t="shared" si="13"/>
        <v>SICRO-4011352</v>
      </c>
      <c r="X109" s="1" t="e">
        <f t="shared" ca="1" si="14"/>
        <v>#N/A</v>
      </c>
      <c r="Y109" s="103">
        <v>0.51</v>
      </c>
      <c r="Z109" s="113">
        <f ca="1">ROUND(IF(ISNUMBER(R109),R109,IF(LEFT(R109,3)="BDI",HLOOKUP(R109,DADOS!$T$37:$X$38,2,FALSE),0)),15-11*$X$5)</f>
        <v>0.24</v>
      </c>
      <c r="AA109" s="1"/>
    </row>
    <row r="110" spans="1:27" x14ac:dyDescent="0.25">
      <c r="A110" t="str">
        <f>CHOOSE(1+LOG(1+2*(J110="Meta")+4*(J110="Nível 2")+8*(J110="Nível 3")+16*(J110="Nível 4")+32*(J110="Serviço"),2),0,1,2,3,4,"S")</f>
        <v>S</v>
      </c>
      <c r="B110">
        <f>IF(OR(A110="S",A110=0),0,IF(ISERROR(I110),H110,SMALL(H110:I110,1)))</f>
        <v>0</v>
      </c>
      <c r="C110">
        <f ca="1">IF($A110=1,OFFSET(C110,-1,0)+1,OFFSET(C110,-1,0))</f>
        <v>6</v>
      </c>
      <c r="D110">
        <f ca="1">IF($A110=1,0,IF($A110=2,OFFSET(D110,-1,0)+1,OFFSET(D110,-1,0)))</f>
        <v>2</v>
      </c>
      <c r="E110">
        <f ca="1">IF(AND($A110&lt;=2,$A110&lt;&gt;0),0,IF($A110=3,OFFSET(E110,-1,0)+1,OFFSET(E110,-1,0)))</f>
        <v>0</v>
      </c>
      <c r="F110">
        <f ca="1">IF(AND($A110&lt;=3,$A110&lt;&gt;0),0,IF($A110=4,OFFSET(F110,-1,0)+1,OFFSET(F110,-1,0)))</f>
        <v>0</v>
      </c>
      <c r="G110">
        <f ca="1">IF(AND($A110&lt;=4,$A110&lt;&gt;0),0,IF($A110="S",OFFSET(G110,-1,0)+1,OFFSET(G110,-1,0)))</f>
        <v>2</v>
      </c>
      <c r="H110">
        <f t="shared" ca="1" si="41"/>
        <v>0</v>
      </c>
      <c r="I110">
        <f t="shared" ca="1" si="42"/>
        <v>0</v>
      </c>
      <c r="J110" s="354" t="s">
        <v>103</v>
      </c>
      <c r="K110" s="138" t="str">
        <f ca="1">IF($A110=0,"-",CONCATENATE(C110&amp;".",IF(AND($A$5&gt;=2,$A110&gt;=2),D110&amp;".",""),IF(AND($A$5&gt;=3,$A110&gt;=3),E110&amp;".",""),IF(AND($A$5&gt;=4,$A110&gt;=4),F110&amp;".",""),IF($A110="S",G110&amp;".","")))</f>
        <v>6.2.0.2.</v>
      </c>
      <c r="L110" s="355" t="s">
        <v>237</v>
      </c>
      <c r="M110" s="355" t="s">
        <v>260</v>
      </c>
      <c r="N110" s="356" t="s">
        <v>277</v>
      </c>
      <c r="O110" s="357" t="s">
        <v>248</v>
      </c>
      <c r="P110" s="358">
        <f>P109</f>
        <v>560</v>
      </c>
      <c r="Q110" s="195"/>
      <c r="R110" s="198" t="s">
        <v>7</v>
      </c>
      <c r="S110" s="103">
        <f>IF($A110="S",IF($Q$10="Preço Unitário (R$)",PO.CustoUnitario,ROUND(PO.CustoUnitario*(1+$Z110),15-13*$X$6)),0)</f>
        <v>0</v>
      </c>
      <c r="T110" s="83">
        <f>IF($A110="S",VTOTAL1,IF($A110=0,0,ROUND(SomaAgrup,15-13*$X$7)))</f>
        <v>0</v>
      </c>
      <c r="U110" s="9" t="str">
        <f>IF($J110="","",IF($N110="","DESCRIÇÃO",IF(AND($J110="Serviço",$O110=""),"UNIDADE",IF($T110&lt;=0,"SEM VALOR",IF(AND($Y110&lt;&gt;"",$Q110&gt;$Y110),"ACIMA REF.","")))))</f>
        <v>SEM VALOR</v>
      </c>
      <c r="V110" s="1" t="str">
        <f ca="1">IF(OR($A110=0,$A110="S",$A110&gt;CFF!$A$9),"",MAX(V$12:OFFSET(V110,-1,0))+1)</f>
        <v/>
      </c>
      <c r="W110" s="4" t="str">
        <f>IF(AND($J110="Serviço",$M110&lt;&gt;""),IF($L110="",$M110,CONCATENATE($L110,"-",$M110)))</f>
        <v>SICRO-4011353</v>
      </c>
      <c r="X110" s="1" t="e">
        <f ca="1">IF(AND(Fonte&lt;&gt;"",Código&lt;&gt;""),MATCH(Fonte&amp;" "&amp;IF(Fonte="sinapi",SUBSTITUTE(SUBSTITUTE(Código,"/00","/"),"/0","/"),Código),INDIRECT("'[Referência "&amp;_xlnm.Database&amp;".xls]Banco'!$a:$a"),0),"X")</f>
        <v>#N/A</v>
      </c>
      <c r="Y110" s="103">
        <v>0.35</v>
      </c>
      <c r="Z110" s="113">
        <f ca="1">ROUND(IF(ISNUMBER(R110),R110,IF(LEFT(R110,3)="BDI",HLOOKUP(R110,DADOS!$T$37:$X$38,2,FALSE),0)),15-11*$X$5)</f>
        <v>0.24</v>
      </c>
      <c r="AA110" s="1"/>
    </row>
    <row r="111" spans="1:27" x14ac:dyDescent="0.25">
      <c r="A111" t="str">
        <f t="shared" ref="A111:A115" si="61">CHOOSE(1+LOG(1+2*(J111="Meta")+4*(J111="Nível 2")+8*(J111="Nível 3")+16*(J111="Nível 4")+32*(J111="Serviço"),2),0,1,2,3,4,"S")</f>
        <v>S</v>
      </c>
      <c r="B111">
        <f t="shared" ref="B111:B115" si="62">IF(OR(A111="S",A111=0),0,IF(ISERROR(I111),H111,SMALL(H111:I111,1)))</f>
        <v>0</v>
      </c>
      <c r="C111">
        <f t="shared" ca="1" si="2"/>
        <v>6</v>
      </c>
      <c r="D111">
        <f t="shared" ca="1" si="3"/>
        <v>2</v>
      </c>
      <c r="E111">
        <f t="shared" ca="1" si="4"/>
        <v>0</v>
      </c>
      <c r="F111">
        <f t="shared" ca="1" si="5"/>
        <v>0</v>
      </c>
      <c r="G111">
        <f t="shared" ca="1" si="6"/>
        <v>3</v>
      </c>
      <c r="H111">
        <f t="shared" ca="1" si="41"/>
        <v>0</v>
      </c>
      <c r="I111">
        <f t="shared" ca="1" si="42"/>
        <v>0</v>
      </c>
      <c r="J111" s="354" t="s">
        <v>103</v>
      </c>
      <c r="K111" s="138" t="str">
        <f t="shared" ref="K111:K115" ca="1" si="63">IF($A111=0,"-",CONCATENATE(C111&amp;".",IF(AND($A$5&gt;=2,$A111&gt;=2),D111&amp;".",""),IF(AND($A$5&gt;=3,$A111&gt;=3),E111&amp;".",""),IF(AND($A$5&gt;=4,$A111&gt;=4),F111&amp;".",""),IF($A111="S",G111&amp;".","")))</f>
        <v>6.2.0.3.</v>
      </c>
      <c r="L111" s="355" t="s">
        <v>237</v>
      </c>
      <c r="M111" s="355" t="s">
        <v>261</v>
      </c>
      <c r="N111" s="356" t="s">
        <v>286</v>
      </c>
      <c r="O111" s="357" t="s">
        <v>249</v>
      </c>
      <c r="P111" s="358">
        <f>P103*7*0.125</f>
        <v>70</v>
      </c>
      <c r="Q111" s="195"/>
      <c r="R111" s="198" t="s">
        <v>7</v>
      </c>
      <c r="S111" s="103">
        <f t="shared" si="10"/>
        <v>0</v>
      </c>
      <c r="T111" s="83">
        <f t="shared" si="11"/>
        <v>0</v>
      </c>
      <c r="U111" s="9" t="str">
        <f t="shared" si="12"/>
        <v>SEM VALOR</v>
      </c>
      <c r="V111" s="1" t="str">
        <f ca="1">IF(OR($A111=0,$A111="S",$A111&gt;CFF!$A$9),"",MAX(V$12:OFFSET(V111,-1,0))+1)</f>
        <v/>
      </c>
      <c r="W111" s="4" t="str">
        <f t="shared" si="13"/>
        <v>SICRO-4011463</v>
      </c>
      <c r="X111" s="1" t="e">
        <f t="shared" ca="1" si="14"/>
        <v>#N/A</v>
      </c>
      <c r="Y111" s="103">
        <v>228.05</v>
      </c>
      <c r="Z111" s="113">
        <f ca="1">ROUND(IF(ISNUMBER(R111),R111,IF(LEFT(R111,3)="BDI",HLOOKUP(R111,DADOS!$T$37:$X$38,2,FALSE),0)),15-11*$X$5)</f>
        <v>0.24</v>
      </c>
      <c r="AA111" s="1"/>
    </row>
    <row r="112" spans="1:27" x14ac:dyDescent="0.25">
      <c r="A112" t="str">
        <f t="shared" si="61"/>
        <v>S</v>
      </c>
      <c r="B112">
        <f t="shared" si="62"/>
        <v>0</v>
      </c>
      <c r="C112">
        <f t="shared" ca="1" si="2"/>
        <v>6</v>
      </c>
      <c r="D112">
        <f t="shared" ca="1" si="3"/>
        <v>2</v>
      </c>
      <c r="E112">
        <f t="shared" ca="1" si="4"/>
        <v>0</v>
      </c>
      <c r="F112">
        <f t="shared" ca="1" si="5"/>
        <v>0</v>
      </c>
      <c r="G112">
        <f t="shared" ca="1" si="6"/>
        <v>4</v>
      </c>
      <c r="H112">
        <f t="shared" ca="1" si="41"/>
        <v>0</v>
      </c>
      <c r="I112">
        <f t="shared" ca="1" si="42"/>
        <v>0</v>
      </c>
      <c r="J112" s="354" t="s">
        <v>103</v>
      </c>
      <c r="K112" s="138" t="str">
        <f t="shared" ca="1" si="63"/>
        <v>6.2.0.4.</v>
      </c>
      <c r="L112" s="355" t="s">
        <v>262</v>
      </c>
      <c r="M112" s="355" t="s">
        <v>263</v>
      </c>
      <c r="N112" s="356" t="s">
        <v>264</v>
      </c>
      <c r="O112" s="357" t="s">
        <v>249</v>
      </c>
      <c r="P112" s="358">
        <f>P109*0.0013</f>
        <v>0.72799999999999998</v>
      </c>
      <c r="Q112" s="195"/>
      <c r="R112" s="198" t="s">
        <v>7</v>
      </c>
      <c r="S112" s="103">
        <f t="shared" si="10"/>
        <v>0</v>
      </c>
      <c r="T112" s="83">
        <f t="shared" si="11"/>
        <v>0</v>
      </c>
      <c r="U112" s="9" t="str">
        <f t="shared" si="12"/>
        <v>SEM VALOR</v>
      </c>
      <c r="V112" s="1" t="str">
        <f ca="1">IF(OR($A112=0,$A112="S",$A112&gt;CFF!$A$9),"",MAX(V$12:OFFSET(V112,-1,0))+1)</f>
        <v/>
      </c>
      <c r="W112" s="4" t="str">
        <f t="shared" si="13"/>
        <v>ANP-INSUMO</v>
      </c>
      <c r="X112" s="1" t="e">
        <f t="shared" ca="1" si="14"/>
        <v>#N/A</v>
      </c>
      <c r="Y112" s="103">
        <v>3404.41</v>
      </c>
      <c r="Z112" s="113">
        <f ca="1">ROUND(IF(ISNUMBER(R112),R112,IF(LEFT(R112,3)="BDI",HLOOKUP(R112,DADOS!$T$37:$X$38,2,FALSE),0)),15-11*$X$5)</f>
        <v>0.24</v>
      </c>
      <c r="AA112" s="1"/>
    </row>
    <row r="113" spans="1:27" x14ac:dyDescent="0.25">
      <c r="A113" t="str">
        <f t="shared" si="61"/>
        <v>S</v>
      </c>
      <c r="B113">
        <f t="shared" si="62"/>
        <v>0</v>
      </c>
      <c r="C113">
        <f t="shared" ca="1" si="2"/>
        <v>6</v>
      </c>
      <c r="D113">
        <f t="shared" ca="1" si="3"/>
        <v>2</v>
      </c>
      <c r="E113">
        <f t="shared" ca="1" si="4"/>
        <v>0</v>
      </c>
      <c r="F113">
        <f t="shared" ca="1" si="5"/>
        <v>0</v>
      </c>
      <c r="G113">
        <f t="shared" ca="1" si="6"/>
        <v>5</v>
      </c>
      <c r="H113">
        <f t="shared" ca="1" si="41"/>
        <v>0</v>
      </c>
      <c r="I113">
        <f t="shared" ca="1" si="42"/>
        <v>0</v>
      </c>
      <c r="J113" s="354" t="s">
        <v>103</v>
      </c>
      <c r="K113" s="138" t="str">
        <f t="shared" ca="1" si="63"/>
        <v>6.2.0.5.</v>
      </c>
      <c r="L113" s="355" t="s">
        <v>262</v>
      </c>
      <c r="M113" s="355" t="s">
        <v>263</v>
      </c>
      <c r="N113" s="356" t="s">
        <v>265</v>
      </c>
      <c r="O113" s="357" t="s">
        <v>249</v>
      </c>
      <c r="P113" s="358">
        <f>P109*0.0009</f>
        <v>0.504</v>
      </c>
      <c r="Q113" s="195"/>
      <c r="R113" s="198" t="s">
        <v>7</v>
      </c>
      <c r="S113" s="103">
        <f t="shared" si="10"/>
        <v>0</v>
      </c>
      <c r="T113" s="83">
        <f t="shared" si="11"/>
        <v>0</v>
      </c>
      <c r="U113" s="9" t="str">
        <f t="shared" si="12"/>
        <v>SEM VALOR</v>
      </c>
      <c r="V113" s="1" t="str">
        <f ca="1">IF(OR($A113=0,$A113="S",$A113&gt;CFF!$A$9),"",MAX(V$12:OFFSET(V113,-1,0))+1)</f>
        <v/>
      </c>
      <c r="W113" s="4" t="str">
        <f t="shared" si="13"/>
        <v>ANP-INSUMO</v>
      </c>
      <c r="X113" s="1" t="e">
        <f t="shared" ca="1" si="14"/>
        <v>#N/A</v>
      </c>
      <c r="Y113" s="103">
        <v>3202.6</v>
      </c>
      <c r="Z113" s="113">
        <f ca="1">ROUND(IF(ISNUMBER(R113),R113,IF(LEFT(R113,3)="BDI",HLOOKUP(R113,DADOS!$T$37:$X$38,2,FALSE),0)),15-11*$X$5)</f>
        <v>0.24</v>
      </c>
      <c r="AA113" s="1"/>
    </row>
    <row r="114" spans="1:27" x14ac:dyDescent="0.25">
      <c r="A114" t="str">
        <f t="shared" si="61"/>
        <v>S</v>
      </c>
      <c r="B114">
        <f t="shared" si="62"/>
        <v>0</v>
      </c>
      <c r="C114">
        <f t="shared" ca="1" si="2"/>
        <v>6</v>
      </c>
      <c r="D114">
        <f t="shared" ca="1" si="3"/>
        <v>2</v>
      </c>
      <c r="E114">
        <f t="shared" ca="1" si="4"/>
        <v>0</v>
      </c>
      <c r="F114">
        <f t="shared" ca="1" si="5"/>
        <v>0</v>
      </c>
      <c r="G114">
        <f t="shared" ca="1" si="6"/>
        <v>6</v>
      </c>
      <c r="H114">
        <f t="shared" ref="H114:H120" ca="1" si="64">IF(OR($A114="S",$A114=0),0,MATCH(0,OFFSET($B114,1,$A114,ROW($A$121)-ROW($A114)),0))</f>
        <v>0</v>
      </c>
      <c r="I114">
        <f t="shared" ref="I114:I120" ca="1" si="65">IF(OR($A114="S",$A114=0),0,MATCH(OFFSET($B114,0,$A114)+1,OFFSET($B114,1,$A114,ROW($A$121)-ROW($A114)),0))</f>
        <v>0</v>
      </c>
      <c r="J114" s="354" t="s">
        <v>103</v>
      </c>
      <c r="K114" s="138" t="str">
        <f t="shared" ca="1" si="63"/>
        <v>6.2.0.6.</v>
      </c>
      <c r="L114" s="355" t="s">
        <v>262</v>
      </c>
      <c r="M114" s="355" t="s">
        <v>263</v>
      </c>
      <c r="N114" s="356" t="s">
        <v>266</v>
      </c>
      <c r="O114" s="357" t="s">
        <v>249</v>
      </c>
      <c r="P114" s="358">
        <f>P109*0.0109</f>
        <v>6.1040000000000001</v>
      </c>
      <c r="Q114" s="195"/>
      <c r="R114" s="198" t="s">
        <v>7</v>
      </c>
      <c r="S114" s="103">
        <f t="shared" si="10"/>
        <v>0</v>
      </c>
      <c r="T114" s="83">
        <f t="shared" si="11"/>
        <v>0</v>
      </c>
      <c r="U114" s="9" t="str">
        <f t="shared" si="12"/>
        <v>SEM VALOR</v>
      </c>
      <c r="V114" s="1" t="str">
        <f ca="1">IF(OR($A114=0,$A114="S",$A114&gt;CFF!$A$9),"",MAX(V$12:OFFSET(V114,-1,0))+1)</f>
        <v/>
      </c>
      <c r="W114" s="4" t="str">
        <f t="shared" si="13"/>
        <v>ANP-INSUMO</v>
      </c>
      <c r="X114" s="1" t="e">
        <f t="shared" ca="1" si="14"/>
        <v>#N/A</v>
      </c>
      <c r="Y114" s="103">
        <v>4697.6400000000003</v>
      </c>
      <c r="Z114" s="113">
        <f ca="1">ROUND(IF(ISNUMBER(R114),R114,IF(LEFT(R114,3)="BDI",HLOOKUP(R114,DADOS!$T$37:$X$38,2,FALSE),0)),15-11*$X$5)</f>
        <v>0.24</v>
      </c>
      <c r="AA114" s="1"/>
    </row>
    <row r="115" spans="1:27" x14ac:dyDescent="0.25">
      <c r="A115">
        <f t="shared" si="61"/>
        <v>3</v>
      </c>
      <c r="B115">
        <f t="shared" ca="1" si="62"/>
        <v>4</v>
      </c>
      <c r="C115">
        <f t="shared" ca="1" si="2"/>
        <v>6</v>
      </c>
      <c r="D115">
        <f t="shared" ca="1" si="3"/>
        <v>2</v>
      </c>
      <c r="E115">
        <f t="shared" ca="1" si="4"/>
        <v>1</v>
      </c>
      <c r="F115">
        <f t="shared" ca="1" si="5"/>
        <v>0</v>
      </c>
      <c r="G115">
        <f t="shared" ca="1" si="6"/>
        <v>0</v>
      </c>
      <c r="H115">
        <f t="shared" ca="1" si="64"/>
        <v>4</v>
      </c>
      <c r="I115" t="e">
        <f t="shared" ca="1" si="65"/>
        <v>#N/A</v>
      </c>
      <c r="J115" s="354" t="s">
        <v>101</v>
      </c>
      <c r="K115" s="138" t="str">
        <f t="shared" ca="1" si="63"/>
        <v>6.2.1.</v>
      </c>
      <c r="L115" s="355"/>
      <c r="M115" s="355"/>
      <c r="N115" s="356" t="s">
        <v>267</v>
      </c>
      <c r="O115" s="357" t="s">
        <v>106</v>
      </c>
      <c r="P115" s="358"/>
      <c r="Q115" s="195"/>
      <c r="R115" s="198" t="s">
        <v>7</v>
      </c>
      <c r="S115" s="103">
        <f t="shared" si="10"/>
        <v>0</v>
      </c>
      <c r="T115" s="83">
        <f t="shared" ca="1" si="11"/>
        <v>0</v>
      </c>
      <c r="U115" s="9" t="str">
        <f t="shared" ca="1" si="12"/>
        <v>SEM VALOR</v>
      </c>
      <c r="V115" s="1" t="str">
        <f ca="1">IF(OR($A115=0,$A115="S",$A115&gt;CFF!$A$9),"",MAX(V$12:OFFSET(V115,-1,0))+1)</f>
        <v/>
      </c>
      <c r="W115" s="4" t="b">
        <f t="shared" si="13"/>
        <v>0</v>
      </c>
      <c r="X115" s="1" t="str">
        <f t="shared" ca="1" si="14"/>
        <v>X</v>
      </c>
      <c r="Y115" s="103">
        <v>0</v>
      </c>
      <c r="Z115" s="113">
        <f ca="1">ROUND(IF(ISNUMBER(R115),R115,IF(LEFT(R115,3)="BDI",HLOOKUP(R115,DADOS!$T$37:$X$38,2,FALSE),0)),15-11*$X$5)</f>
        <v>0.24</v>
      </c>
      <c r="AA115" s="1"/>
    </row>
    <row r="116" spans="1:27" ht="26.4" x14ac:dyDescent="0.25">
      <c r="A116" t="str">
        <f>CHOOSE(1+LOG(1+2*(J116="Meta")+4*(J116="Nível 2")+8*(J116="Nível 3")+16*(J116="Nível 4")+32*(J116="Serviço"),2),0,1,2,3,4,"S")</f>
        <v>S</v>
      </c>
      <c r="B116">
        <f>IF(OR(A116="S",A116=0),0,IF(ISERROR(I116),H116,SMALL(H116:I116,1)))</f>
        <v>0</v>
      </c>
      <c r="C116">
        <f ca="1">IF($A116=1,OFFSET(C116,-1,0)+1,OFFSET(C116,-1,0))</f>
        <v>6</v>
      </c>
      <c r="D116">
        <f ca="1">IF($A116=1,0,IF($A116=2,OFFSET(D116,-1,0)+1,OFFSET(D116,-1,0)))</f>
        <v>2</v>
      </c>
      <c r="E116">
        <f ca="1">IF(AND($A116&lt;=2,$A116&lt;&gt;0),0,IF($A116=3,OFFSET(E116,-1,0)+1,OFFSET(E116,-1,0)))</f>
        <v>1</v>
      </c>
      <c r="F116">
        <f ca="1">IF(AND($A116&lt;=3,$A116&lt;&gt;0),0,IF($A116=4,OFFSET(F116,-1,0)+1,OFFSET(F116,-1,0)))</f>
        <v>0</v>
      </c>
      <c r="G116">
        <f ca="1">IF(AND($A116&lt;=4,$A116&lt;&gt;0),0,IF($A116="S",OFFSET(G116,-1,0)+1,OFFSET(G116,-1,0)))</f>
        <v>1</v>
      </c>
      <c r="H116">
        <f t="shared" ca="1" si="64"/>
        <v>0</v>
      </c>
      <c r="I116">
        <f t="shared" ca="1" si="65"/>
        <v>0</v>
      </c>
      <c r="J116" s="354" t="s">
        <v>103</v>
      </c>
      <c r="K116" s="138" t="str">
        <f ca="1">IF($A116=0,"-",CONCATENATE(C116&amp;".",IF(AND($A$5&gt;=2,$A116&gt;=2),D116&amp;".",""),IF(AND($A$5&gt;=3,$A116&gt;=3),E116&amp;".",""),IF(AND($A$5&gt;=4,$A116&gt;=4),F116&amp;".",""),IF($A116="S",G116&amp;".","")))</f>
        <v>6.2.1.1.</v>
      </c>
      <c r="L116" s="355" t="s">
        <v>237</v>
      </c>
      <c r="M116" s="355" t="s">
        <v>268</v>
      </c>
      <c r="N116" s="356" t="s">
        <v>269</v>
      </c>
      <c r="O116" s="357" t="s">
        <v>249</v>
      </c>
      <c r="P116" s="358">
        <f>P111</f>
        <v>70</v>
      </c>
      <c r="Q116" s="195"/>
      <c r="R116" s="198" t="s">
        <v>7</v>
      </c>
      <c r="S116" s="103">
        <f>IF($A116="S",IF($Q$10="Preço Unitário (R$)",PO.CustoUnitario,ROUND(PO.CustoUnitario*(1+$Z116),15-13*$X$6)),0)</f>
        <v>0</v>
      </c>
      <c r="T116" s="83">
        <f>IF($A116="S",VTOTAL1,IF($A116=0,0,ROUND(SomaAgrup,15-13*$X$7)))</f>
        <v>0</v>
      </c>
      <c r="U116" s="9" t="str">
        <f>IF($J116="","",IF($N116="","DESCRIÇÃO",IF(AND($J116="Serviço",$O116=""),"UNIDADE",IF($T116&lt;=0,"SEM VALOR",IF(AND($Y116&lt;&gt;"",$Q116&gt;$Y116),"ACIMA REF.","")))))</f>
        <v>SEM VALOR</v>
      </c>
      <c r="V116" s="1" t="str">
        <f ca="1">IF(OR($A116=0,$A116="S",$A116&gt;CFF!$A$9),"",MAX(V$12:OFFSET(V116,-1,0))+1)</f>
        <v/>
      </c>
      <c r="W116" s="4" t="str">
        <f>IF(AND($J116="Serviço",$M116&lt;&gt;""),IF($L116="",$M116,CONCATENATE($L116,"-",$M116)))</f>
        <v>SICRO-5914643</v>
      </c>
      <c r="X116" s="1" t="e">
        <f t="shared" ca="1" si="14"/>
        <v>#N/A</v>
      </c>
      <c r="Y116" s="103">
        <v>6.44</v>
      </c>
      <c r="Z116" s="113">
        <f ca="1">ROUND(IF(ISNUMBER(R116),R116,IF(LEFT(R116,3)="BDI",HLOOKUP(R116,DADOS!$T$37:$X$38,2,FALSE),0)),15-11*$X$5)</f>
        <v>0.24</v>
      </c>
      <c r="AA116" s="1"/>
    </row>
    <row r="117" spans="1:27" x14ac:dyDescent="0.25">
      <c r="A117" t="str">
        <f t="shared" ref="A117:A120" si="66">CHOOSE(1+LOG(1+2*(J117="Meta")+4*(J117="Nível 2")+8*(J117="Nível 3")+16*(J117="Nível 4")+32*(J117="Serviço"),2),0,1,2,3,4,"S")</f>
        <v>S</v>
      </c>
      <c r="B117">
        <f t="shared" ref="B117:B120" si="67">IF(OR(A117="S",A117=0),0,IF(ISERROR(I117),H117,SMALL(H117:I117,1)))</f>
        <v>0</v>
      </c>
      <c r="C117">
        <f t="shared" ca="1" si="2"/>
        <v>6</v>
      </c>
      <c r="D117">
        <f t="shared" ca="1" si="3"/>
        <v>2</v>
      </c>
      <c r="E117">
        <f t="shared" ca="1" si="4"/>
        <v>1</v>
      </c>
      <c r="F117">
        <f t="shared" ca="1" si="5"/>
        <v>0</v>
      </c>
      <c r="G117">
        <f t="shared" ca="1" si="6"/>
        <v>2</v>
      </c>
      <c r="H117">
        <f t="shared" ca="1" si="64"/>
        <v>0</v>
      </c>
      <c r="I117">
        <f t="shared" ca="1" si="65"/>
        <v>0</v>
      </c>
      <c r="J117" s="354" t="s">
        <v>103</v>
      </c>
      <c r="K117" s="138" t="str">
        <f t="shared" ref="K117:K120" ca="1" si="68">IF($A117=0,"-",CONCATENATE(C117&amp;".",IF(AND($A$5&gt;=2,$A117&gt;=2),D117&amp;".",""),IF(AND($A$5&gt;=3,$A117&gt;=3),E117&amp;".",""),IF(AND($A$5&gt;=4,$A117&gt;=4),F117&amp;".",""),IF($A117="S",G117&amp;".","")))</f>
        <v>6.2.1.2.</v>
      </c>
      <c r="L117" s="355" t="s">
        <v>237</v>
      </c>
      <c r="M117" s="355" t="s">
        <v>247</v>
      </c>
      <c r="N117" s="356" t="s">
        <v>270</v>
      </c>
      <c r="O117" s="357" t="s">
        <v>249</v>
      </c>
      <c r="P117" s="358">
        <f>P111*30</f>
        <v>2100</v>
      </c>
      <c r="Q117" s="195"/>
      <c r="R117" s="198" t="s">
        <v>7</v>
      </c>
      <c r="S117" s="103">
        <f t="shared" si="10"/>
        <v>0</v>
      </c>
      <c r="T117" s="83">
        <f t="shared" si="11"/>
        <v>0</v>
      </c>
      <c r="U117" s="9" t="str">
        <f t="shared" si="12"/>
        <v>SEM VALOR</v>
      </c>
      <c r="V117" s="1" t="str">
        <f ca="1">IF(OR($A117=0,$A117="S",$A117&gt;CFF!$A$9),"",MAX(V$12:OFFSET(V117,-1,0))+1)</f>
        <v/>
      </c>
      <c r="W117" s="4" t="str">
        <f t="shared" si="13"/>
        <v>SICRO-5914612</v>
      </c>
      <c r="X117" s="1" t="e">
        <f t="shared" ca="1" si="14"/>
        <v>#N/A</v>
      </c>
      <c r="Y117" s="103">
        <v>1.46</v>
      </c>
      <c r="Z117" s="113">
        <f ca="1">ROUND(IF(ISNUMBER(R117),R117,IF(LEFT(R117,3)="BDI",HLOOKUP(R117,DADOS!$T$37:$X$38,2,FALSE),0)),15-11*$X$5)</f>
        <v>0.24</v>
      </c>
      <c r="AA117" s="1"/>
    </row>
    <row r="118" spans="1:27" ht="26.4" x14ac:dyDescent="0.25">
      <c r="A118" t="str">
        <f t="shared" si="66"/>
        <v>S</v>
      </c>
      <c r="B118">
        <f t="shared" si="67"/>
        <v>0</v>
      </c>
      <c r="C118">
        <f t="shared" ca="1" si="2"/>
        <v>6</v>
      </c>
      <c r="D118">
        <f t="shared" ca="1" si="3"/>
        <v>2</v>
      </c>
      <c r="E118">
        <f t="shared" ca="1" si="4"/>
        <v>1</v>
      </c>
      <c r="F118">
        <f t="shared" ca="1" si="5"/>
        <v>0</v>
      </c>
      <c r="G118">
        <f t="shared" ca="1" si="6"/>
        <v>3</v>
      </c>
      <c r="H118">
        <f t="shared" ca="1" si="64"/>
        <v>0</v>
      </c>
      <c r="I118">
        <f t="shared" ca="1" si="65"/>
        <v>0</v>
      </c>
      <c r="J118" s="354" t="s">
        <v>103</v>
      </c>
      <c r="K118" s="138" t="str">
        <f t="shared" ca="1" si="68"/>
        <v>6.2.1.3.</v>
      </c>
      <c r="L118" s="355" t="s">
        <v>253</v>
      </c>
      <c r="M118" s="355" t="s">
        <v>271</v>
      </c>
      <c r="N118" s="356" t="s">
        <v>291</v>
      </c>
      <c r="O118" s="357" t="s">
        <v>297</v>
      </c>
      <c r="P118" s="358">
        <f>(P109+P110)*0.0036*30</f>
        <v>120.96000000000001</v>
      </c>
      <c r="Q118" s="195"/>
      <c r="R118" s="198" t="s">
        <v>7</v>
      </c>
      <c r="S118" s="103">
        <f t="shared" si="10"/>
        <v>0</v>
      </c>
      <c r="T118" s="83">
        <f t="shared" si="11"/>
        <v>0</v>
      </c>
      <c r="U118" s="9" t="str">
        <f t="shared" si="12"/>
        <v>SEM VALOR</v>
      </c>
      <c r="V118" s="1" t="str">
        <f ca="1">IF(OR($A118=0,$A118="S",$A118&gt;CFF!$A$9),"",MAX(V$12:OFFSET(V118,-1,0))+1)</f>
        <v/>
      </c>
      <c r="W118" s="4" t="str">
        <f t="shared" si="13"/>
        <v>SINAPI-102330</v>
      </c>
      <c r="X118" s="1">
        <f t="shared" ca="1" si="14"/>
        <v>7339</v>
      </c>
      <c r="Y118" s="103">
        <v>1.84</v>
      </c>
      <c r="Z118" s="113">
        <f ca="1">ROUND(IF(ISNUMBER(R118),R118,IF(LEFT(R118,3)="BDI",HLOOKUP(R118,DADOS!$T$37:$X$38,2,FALSE),0)),15-11*$X$5)</f>
        <v>0.24</v>
      </c>
      <c r="AA118" s="1"/>
    </row>
    <row r="119" spans="1:27" x14ac:dyDescent="0.25">
      <c r="A119">
        <f t="shared" si="66"/>
        <v>2</v>
      </c>
      <c r="B119">
        <f t="shared" ca="1" si="67"/>
        <v>2</v>
      </c>
      <c r="C119">
        <f t="shared" ca="1" si="2"/>
        <v>6</v>
      </c>
      <c r="D119">
        <f t="shared" ca="1" si="3"/>
        <v>3</v>
      </c>
      <c r="E119">
        <f t="shared" ca="1" si="4"/>
        <v>0</v>
      </c>
      <c r="F119">
        <f t="shared" ca="1" si="5"/>
        <v>0</v>
      </c>
      <c r="G119">
        <f t="shared" ca="1" si="6"/>
        <v>0</v>
      </c>
      <c r="H119">
        <f t="shared" ca="1" si="64"/>
        <v>2</v>
      </c>
      <c r="I119" t="e">
        <f t="shared" ca="1" si="65"/>
        <v>#N/A</v>
      </c>
      <c r="J119" s="354" t="s">
        <v>100</v>
      </c>
      <c r="K119" s="138" t="str">
        <f t="shared" ca="1" si="68"/>
        <v>6.3.</v>
      </c>
      <c r="L119" s="355" t="s">
        <v>237</v>
      </c>
      <c r="M119" s="355"/>
      <c r="N119" s="356" t="s">
        <v>273</v>
      </c>
      <c r="O119" s="357" t="s">
        <v>106</v>
      </c>
      <c r="P119" s="358"/>
      <c r="Q119" s="195"/>
      <c r="R119" s="198" t="s">
        <v>7</v>
      </c>
      <c r="S119" s="103">
        <f t="shared" si="10"/>
        <v>0</v>
      </c>
      <c r="T119" s="83">
        <f t="shared" ca="1" si="11"/>
        <v>0</v>
      </c>
      <c r="U119" s="9" t="str">
        <f t="shared" ca="1" si="12"/>
        <v>SEM VALOR</v>
      </c>
      <c r="V119" s="1">
        <f ca="1">IF(OR($A119=0,$A119="S",$A119&gt;CFF!$A$9),"",MAX(V$12:OFFSET(V119,-1,0))+1)</f>
        <v>21</v>
      </c>
      <c r="W119" s="4" t="b">
        <f t="shared" si="13"/>
        <v>0</v>
      </c>
      <c r="X119" s="1" t="str">
        <f t="shared" ca="1" si="14"/>
        <v>X</v>
      </c>
      <c r="Y119" s="103">
        <v>0</v>
      </c>
      <c r="Z119" s="113">
        <f ca="1">ROUND(IF(ISNUMBER(R119),R119,IF(LEFT(R119,3)="BDI",HLOOKUP(R119,DADOS!$T$37:$X$38,2,FALSE),0)),15-11*$X$5)</f>
        <v>0.24</v>
      </c>
      <c r="AA119" s="1"/>
    </row>
    <row r="120" spans="1:27" ht="26.4" x14ac:dyDescent="0.25">
      <c r="A120" t="str">
        <f t="shared" si="66"/>
        <v>S</v>
      </c>
      <c r="B120">
        <f t="shared" si="67"/>
        <v>0</v>
      </c>
      <c r="C120">
        <f t="shared" ca="1" si="2"/>
        <v>6</v>
      </c>
      <c r="D120">
        <f t="shared" ca="1" si="3"/>
        <v>3</v>
      </c>
      <c r="E120">
        <f t="shared" ca="1" si="4"/>
        <v>0</v>
      </c>
      <c r="F120">
        <f t="shared" ca="1" si="5"/>
        <v>0</v>
      </c>
      <c r="G120">
        <f t="shared" ca="1" si="6"/>
        <v>1</v>
      </c>
      <c r="H120">
        <f t="shared" ca="1" si="64"/>
        <v>0</v>
      </c>
      <c r="I120">
        <f t="shared" ca="1" si="65"/>
        <v>0</v>
      </c>
      <c r="J120" s="354" t="s">
        <v>103</v>
      </c>
      <c r="K120" s="138" t="str">
        <f t="shared" ca="1" si="68"/>
        <v>6.3.0.1.</v>
      </c>
      <c r="L120" s="355" t="s">
        <v>253</v>
      </c>
      <c r="M120" s="355" t="s">
        <v>274</v>
      </c>
      <c r="N120" s="356" t="s">
        <v>292</v>
      </c>
      <c r="O120" s="357" t="s">
        <v>298</v>
      </c>
      <c r="P120" s="358">
        <f>P103*3</f>
        <v>240</v>
      </c>
      <c r="Q120" s="195"/>
      <c r="R120" s="198" t="s">
        <v>7</v>
      </c>
      <c r="S120" s="103">
        <f t="shared" si="10"/>
        <v>0</v>
      </c>
      <c r="T120" s="83">
        <f t="shared" si="11"/>
        <v>0</v>
      </c>
      <c r="U120" s="9" t="str">
        <f t="shared" si="12"/>
        <v>SEM VALOR</v>
      </c>
      <c r="V120" s="1" t="str">
        <f ca="1">IF(OR($A120=0,$A120="S",$A120&gt;CFF!$A$9),"",MAX(V$12:OFFSET(V120,-1,0))+1)</f>
        <v/>
      </c>
      <c r="W120" s="4" t="str">
        <f t="shared" si="13"/>
        <v>SINAPI-102512</v>
      </c>
      <c r="X120" s="1">
        <f t="shared" ca="1" si="14"/>
        <v>6499</v>
      </c>
      <c r="Y120" s="103">
        <v>7.79</v>
      </c>
      <c r="Z120" s="113">
        <f ca="1">ROUND(IF(ISNUMBER(R120),R120,IF(LEFT(R120,3)="BDI",HLOOKUP(R120,DADOS!$T$37:$X$38,2,FALSE),0)),15-11*$X$5)</f>
        <v>0.24</v>
      </c>
      <c r="AA120" s="1"/>
    </row>
    <row r="121" spans="1:27" x14ac:dyDescent="0.25">
      <c r="A121">
        <v>-1</v>
      </c>
      <c r="C121">
        <v>0</v>
      </c>
      <c r="D121">
        <v>0</v>
      </c>
      <c r="E121">
        <v>0</v>
      </c>
      <c r="F121">
        <v>0</v>
      </c>
      <c r="G121">
        <v>0</v>
      </c>
      <c r="J121" s="69"/>
      <c r="K121" s="69"/>
      <c r="L121" s="69"/>
      <c r="M121" s="69"/>
      <c r="N121" s="69"/>
      <c r="O121" s="69"/>
      <c r="P121" s="69"/>
      <c r="Q121" s="69"/>
      <c r="R121" s="69"/>
      <c r="S121" s="69"/>
      <c r="T121" s="69"/>
      <c r="U121" s="1"/>
      <c r="V121" s="1"/>
      <c r="W121" s="1"/>
      <c r="X121" s="1"/>
      <c r="Y121" s="1"/>
      <c r="Z121" s="1"/>
      <c r="AA121" s="1"/>
    </row>
    <row r="122" spans="1:27" ht="14.25" customHeight="1" x14ac:dyDescent="0.25">
      <c r="A122" s="1"/>
      <c r="B122" s="1"/>
      <c r="C122" s="1"/>
      <c r="D122" s="1"/>
      <c r="E122" s="1"/>
      <c r="F122" s="1"/>
      <c r="G122" s="1"/>
      <c r="H122" s="1"/>
      <c r="I122" s="1"/>
      <c r="J122" s="1"/>
      <c r="K122" s="70" t="s">
        <v>62</v>
      </c>
      <c r="L122" s="1"/>
      <c r="M122" s="325" t="s">
        <v>141</v>
      </c>
      <c r="N122" s="326"/>
      <c r="O122" s="326"/>
      <c r="P122" s="326"/>
      <c r="Q122" s="326"/>
      <c r="R122" s="326"/>
      <c r="S122" s="326"/>
      <c r="T122" s="327"/>
      <c r="U122" s="1"/>
      <c r="V122" s="1"/>
      <c r="W122" s="1"/>
      <c r="X122" s="1"/>
      <c r="Y122" s="1"/>
      <c r="Z122" s="1"/>
      <c r="AA122" s="1"/>
    </row>
    <row r="123" spans="1:27"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3.8" x14ac:dyDescent="0.25">
      <c r="A124" s="1"/>
      <c r="B124" s="1"/>
      <c r="C124" s="1"/>
      <c r="D124" s="1"/>
      <c r="E124" s="1"/>
      <c r="F124" s="1"/>
      <c r="G124" s="1"/>
      <c r="H124" s="1"/>
      <c r="I124" s="1"/>
      <c r="J124" s="1"/>
      <c r="K124" s="76" t="s">
        <v>21</v>
      </c>
      <c r="L124" s="1"/>
      <c r="M124" s="1"/>
      <c r="N124" s="1"/>
      <c r="O124" s="1"/>
      <c r="P124" s="1"/>
      <c r="Q124" s="1"/>
      <c r="R124" s="1"/>
      <c r="S124" s="1"/>
      <c r="T124" s="75"/>
      <c r="U124" s="1"/>
      <c r="V124" s="1"/>
      <c r="W124" s="1"/>
      <c r="X124" s="1"/>
      <c r="Y124" s="1"/>
      <c r="Z124" s="1"/>
      <c r="AA124" s="1"/>
    </row>
    <row r="125" spans="1:27" ht="12.75" customHeight="1" x14ac:dyDescent="0.25">
      <c r="A125" s="1"/>
      <c r="B125" s="1"/>
      <c r="C125" s="1"/>
      <c r="D125" s="1"/>
      <c r="E125" s="1"/>
      <c r="F125" s="1"/>
      <c r="G125" s="1"/>
      <c r="H125" s="1"/>
      <c r="I125" s="1"/>
      <c r="J125" s="1"/>
      <c r="K125" s="319"/>
      <c r="L125" s="320"/>
      <c r="M125" s="320"/>
      <c r="N125" s="320"/>
      <c r="O125" s="320"/>
      <c r="P125" s="320"/>
      <c r="Q125" s="320"/>
      <c r="R125" s="320"/>
      <c r="S125" s="320"/>
      <c r="T125" s="321"/>
      <c r="U125" s="1"/>
      <c r="V125" s="1"/>
      <c r="W125" s="1"/>
      <c r="X125" s="1"/>
      <c r="Y125" s="1"/>
      <c r="Z125" s="1"/>
      <c r="AA125" s="1"/>
    </row>
    <row r="126" spans="1:27" x14ac:dyDescent="0.25">
      <c r="A126" s="1"/>
      <c r="B126" s="1"/>
      <c r="C126" s="1"/>
      <c r="D126" s="1"/>
      <c r="E126" s="1"/>
      <c r="F126" s="1"/>
      <c r="G126" s="1"/>
      <c r="H126" s="1"/>
      <c r="I126" s="1"/>
      <c r="J126" s="1"/>
      <c r="K126" s="319"/>
      <c r="L126" s="320"/>
      <c r="M126" s="320"/>
      <c r="N126" s="320"/>
      <c r="O126" s="320"/>
      <c r="P126" s="320"/>
      <c r="Q126" s="320"/>
      <c r="R126" s="320"/>
      <c r="S126" s="320"/>
      <c r="T126" s="321"/>
      <c r="U126" s="1"/>
      <c r="V126" s="1"/>
      <c r="W126" s="1"/>
      <c r="X126" s="1"/>
      <c r="Y126" s="1"/>
      <c r="Z126" s="1"/>
      <c r="AA126" s="1"/>
    </row>
    <row r="127" spans="1:27" x14ac:dyDescent="0.25">
      <c r="A127" s="1"/>
      <c r="B127" s="1"/>
      <c r="C127" s="1"/>
      <c r="D127" s="1"/>
      <c r="E127" s="1"/>
      <c r="F127" s="1"/>
      <c r="G127" s="1"/>
      <c r="H127" s="1"/>
      <c r="I127" s="1"/>
      <c r="J127" s="1"/>
      <c r="K127" s="322"/>
      <c r="L127" s="323"/>
      <c r="M127" s="323"/>
      <c r="N127" s="323"/>
      <c r="O127" s="323"/>
      <c r="P127" s="323"/>
      <c r="Q127" s="323"/>
      <c r="R127" s="323"/>
      <c r="S127" s="323"/>
      <c r="T127" s="324"/>
      <c r="U127" s="1"/>
      <c r="V127" s="1"/>
      <c r="W127" s="1"/>
      <c r="X127" s="1"/>
      <c r="Y127" s="1"/>
      <c r="Z127" s="1"/>
      <c r="AA127" s="1"/>
    </row>
    <row r="128" spans="1:27" ht="13.8" x14ac:dyDescent="0.25">
      <c r="A128" s="1"/>
      <c r="B128" s="1"/>
      <c r="C128" s="1"/>
      <c r="D128" s="1"/>
      <c r="E128" s="1"/>
      <c r="F128" s="1"/>
      <c r="G128" s="1"/>
      <c r="H128" s="1"/>
      <c r="I128" s="1"/>
      <c r="J128" s="1"/>
      <c r="K128" s="180"/>
      <c r="L128" s="180"/>
      <c r="M128" s="180"/>
      <c r="N128" s="180"/>
      <c r="O128" s="180"/>
      <c r="P128" s="180"/>
      <c r="Q128" s="180"/>
      <c r="R128" s="180"/>
      <c r="S128" s="180"/>
      <c r="T128" s="180"/>
      <c r="U128" s="1"/>
      <c r="V128" s="1"/>
      <c r="W128" s="1"/>
      <c r="X128" s="1"/>
      <c r="Y128" s="1"/>
      <c r="Z128" s="1"/>
      <c r="AA128" s="1"/>
    </row>
    <row r="129" spans="1:27" ht="13.8" x14ac:dyDescent="0.25">
      <c r="A129" s="1"/>
      <c r="B129" s="1"/>
      <c r="C129" s="1"/>
      <c r="D129" s="1"/>
      <c r="E129" s="1"/>
      <c r="F129" s="1"/>
      <c r="G129" s="1"/>
      <c r="H129" s="1"/>
      <c r="I129" s="1"/>
      <c r="J129" s="1"/>
      <c r="K129" s="31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129" s="317"/>
      <c r="M129" s="317"/>
      <c r="N129" s="317"/>
      <c r="O129" s="317"/>
      <c r="P129" s="317"/>
      <c r="Q129" s="317"/>
      <c r="R129" s="317"/>
      <c r="S129" s="317"/>
      <c r="T129" s="318"/>
      <c r="U129" s="1"/>
      <c r="V129" s="1"/>
      <c r="W129" s="1"/>
      <c r="X129" s="1"/>
      <c r="Y129" s="1"/>
      <c r="Z129" s="1"/>
      <c r="AA129" s="1"/>
    </row>
    <row r="130" spans="1:27"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21"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x14ac:dyDescent="0.25">
      <c r="A132" s="1"/>
      <c r="B132" s="1"/>
      <c r="C132" s="1"/>
      <c r="D132" s="1"/>
      <c r="E132" s="1"/>
      <c r="F132" s="1"/>
      <c r="G132" s="1"/>
      <c r="H132" s="1"/>
      <c r="I132" s="1"/>
      <c r="J132" s="1"/>
      <c r="K132" s="329" t="str">
        <f>Import.Município</f>
        <v>BENTO GONÇALVES/RS</v>
      </c>
      <c r="L132" s="329"/>
      <c r="M132" s="329"/>
      <c r="N132" s="1"/>
      <c r="O132" s="1"/>
      <c r="P132" s="1"/>
      <c r="Q132" s="1"/>
      <c r="R132" s="1"/>
      <c r="S132" s="1"/>
      <c r="T132" s="1"/>
      <c r="U132" s="1"/>
      <c r="V132" s="1"/>
      <c r="W132" s="1"/>
      <c r="X132" s="1"/>
      <c r="Y132" s="1"/>
      <c r="Z132" s="1"/>
      <c r="AA132" s="1"/>
    </row>
    <row r="133" spans="1:27" x14ac:dyDescent="0.25">
      <c r="A133" s="1"/>
      <c r="B133" s="1"/>
      <c r="C133" s="1"/>
      <c r="D133" s="1"/>
      <c r="E133" s="1"/>
      <c r="F133" s="1"/>
      <c r="G133" s="1"/>
      <c r="H133" s="1"/>
      <c r="I133" s="1"/>
      <c r="J133" s="1"/>
      <c r="K133" s="97" t="s">
        <v>120</v>
      </c>
      <c r="L133" s="1"/>
      <c r="M133" s="1"/>
      <c r="N133" s="1"/>
      <c r="O133" s="1"/>
      <c r="P133" s="1"/>
      <c r="Q133" s="1"/>
      <c r="R133" s="1"/>
      <c r="S133" s="1"/>
      <c r="T133" s="1"/>
      <c r="U133" s="1"/>
      <c r="V133" s="1"/>
      <c r="W133" s="1"/>
      <c r="X133" s="1"/>
      <c r="Y133" s="1"/>
      <c r="Z133" s="1"/>
      <c r="AA133" s="1"/>
    </row>
    <row r="134" spans="1:27"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x14ac:dyDescent="0.25">
      <c r="A135" s="1"/>
      <c r="B135" s="1"/>
      <c r="C135" s="1"/>
      <c r="D135" s="1"/>
      <c r="E135" s="1"/>
      <c r="F135" s="1"/>
      <c r="G135" s="1"/>
      <c r="H135" s="1"/>
      <c r="I135" s="1"/>
      <c r="J135" s="1"/>
      <c r="K135" s="328">
        <f ca="1">TODAY()</f>
        <v>45699</v>
      </c>
      <c r="L135" s="328"/>
      <c r="M135" s="328"/>
      <c r="N135" s="1"/>
      <c r="O135" s="1"/>
      <c r="P135" s="1"/>
      <c r="Q135" s="1"/>
      <c r="R135" s="1"/>
      <c r="S135" s="1"/>
      <c r="T135" s="1"/>
      <c r="U135" s="1"/>
      <c r="V135" s="1"/>
      <c r="W135" s="1"/>
      <c r="X135" s="1"/>
      <c r="Y135" s="1"/>
      <c r="Z135" s="1"/>
      <c r="AA135" s="1"/>
    </row>
    <row r="136" spans="1:27" x14ac:dyDescent="0.25">
      <c r="A136" s="1"/>
      <c r="B136" s="1"/>
      <c r="C136" s="1"/>
      <c r="D136" s="1"/>
      <c r="E136" s="1"/>
      <c r="F136" s="1"/>
      <c r="G136" s="1"/>
      <c r="H136" s="1"/>
      <c r="I136" s="1"/>
      <c r="J136" s="1"/>
      <c r="K136" s="119" t="s">
        <v>121</v>
      </c>
      <c r="L136" s="69"/>
      <c r="M136" s="69"/>
      <c r="N136" s="1"/>
      <c r="O136" s="1"/>
      <c r="P136" s="1"/>
      <c r="Q136" s="1"/>
      <c r="R136" s="1"/>
      <c r="S136" s="1"/>
      <c r="T136" s="1"/>
      <c r="U136" s="1"/>
      <c r="V136" s="1"/>
      <c r="W136" s="1"/>
      <c r="X136" s="1"/>
      <c r="Y136" s="1"/>
      <c r="Z136" s="1"/>
      <c r="AA136" s="1"/>
    </row>
  </sheetData>
  <sheetProtection password="C95B" sheet="1" objects="1" scenarios="1"/>
  <mergeCells count="6">
    <mergeCell ref="W2:X2"/>
    <mergeCell ref="K129:T129"/>
    <mergeCell ref="K125:T127"/>
    <mergeCell ref="M122:T122"/>
    <mergeCell ref="K135:M135"/>
    <mergeCell ref="K132:M132"/>
  </mergeCells>
  <phoneticPr fontId="25" type="noConversion"/>
  <conditionalFormatting sqref="O12:R12 L12:M12">
    <cfRule type="expression" dxfId="771" priority="4863" stopIfTrue="1">
      <formula>$J12=$C$2</formula>
    </cfRule>
    <cfRule type="expression" dxfId="770" priority="4864" stopIfTrue="1">
      <formula>UPPER(LEFT($J12,5))="NÍVEL"</formula>
    </cfRule>
    <cfRule type="expression" dxfId="769" priority="4865" stopIfTrue="1">
      <formula>$J12=$C$8</formula>
    </cfRule>
  </conditionalFormatting>
  <conditionalFormatting sqref="Y12:Z12 S12:T12 K12">
    <cfRule type="expression" dxfId="768" priority="4866" stopIfTrue="1">
      <formula>$J12=$C$2</formula>
    </cfRule>
    <cfRule type="expression" dxfId="767" priority="4867" stopIfTrue="1">
      <formula>UPPER(LEFT($J12,5))="NÍVEL"</formula>
    </cfRule>
  </conditionalFormatting>
  <conditionalFormatting sqref="K11 K13:K16 K18:K19 K101:K103 K21:K37 K105:K120">
    <cfRule type="expression" dxfId="766" priority="4879" stopIfTrue="1">
      <formula>$J11=$C$2</formula>
    </cfRule>
    <cfRule type="expression" dxfId="765" priority="4880" stopIfTrue="1">
      <formula>AND($J11&lt;&gt;"",$J11&lt;&gt;"Serviço")</formula>
    </cfRule>
    <cfRule type="expression" dxfId="764" priority="4881" stopIfTrue="1">
      <formula>$J11=""</formula>
    </cfRule>
  </conditionalFormatting>
  <conditionalFormatting sqref="P11 P13:P16 P18:P19 P101:P103 P21:P37 P107:P110 P112:P120">
    <cfRule type="expression" dxfId="763" priority="3206" stopIfTrue="1">
      <formula>$J11=$C$2</formula>
    </cfRule>
    <cfRule type="expression" dxfId="762" priority="4885" stopIfTrue="1">
      <formula>AND($J11&lt;&gt;"Serviço")</formula>
    </cfRule>
    <cfRule type="expression" dxfId="761" priority="4886" stopIfTrue="1">
      <formula>CELL("proteger",P11)</formula>
    </cfRule>
  </conditionalFormatting>
  <conditionalFormatting sqref="Q11:R11 Q13:R16 Q18:R19 Q101:R103 Q21:R37 Q107:R120 R105:R106">
    <cfRule type="expression" dxfId="760" priority="4887" stopIfTrue="1">
      <formula>$J11=$C$2</formula>
    </cfRule>
    <cfRule type="expression" dxfId="759" priority="4888" stopIfTrue="1">
      <formula>$J11&lt;&gt;"Serviço"</formula>
    </cfRule>
    <cfRule type="expression" dxfId="758" priority="4889" stopIfTrue="1">
      <formula>CELL("proteger",Q11)</formula>
    </cfRule>
  </conditionalFormatting>
  <conditionalFormatting sqref="S11:T11 Y11:Z11 S13:T16 Y13:Z16 Y18:Z19 S18:T19 S101:T103 Y101:Z103 S21:T37 Y21:Z37 Y105:Z120 S105:T120">
    <cfRule type="expression" dxfId="757" priority="4890" stopIfTrue="1">
      <formula>$J11=$C$2</formula>
    </cfRule>
    <cfRule type="expression" dxfId="756" priority="4891" stopIfTrue="1">
      <formula>$J11&lt;&gt;"Serviço"</formula>
    </cfRule>
  </conditionalFormatting>
  <conditionalFormatting sqref="L11:M11 L13:M16 L18:M19 L101:M103 L21:M37 L107:M120">
    <cfRule type="expression" dxfId="755" priority="4911" stopIfTrue="1">
      <formula>$J11=$C$2</formula>
    </cfRule>
    <cfRule type="expression" dxfId="754" priority="4912" stopIfTrue="1">
      <formula>$J11&lt;&gt;"Serviço"</formula>
    </cfRule>
    <cfRule type="expression" dxfId="753" priority="4913" stopIfTrue="1">
      <formula>OR(CELL("proteger",L11),$J11="",TipoOrçamento="Licitado")</formula>
    </cfRule>
  </conditionalFormatting>
  <conditionalFormatting sqref="K122:T122">
    <cfRule type="expression" dxfId="752" priority="4892" stopIfTrue="1">
      <formula>OR(Tipo.Orçamento="LICITADO",Tipo.Orçamento="REPROGRAMADOAC")</formula>
    </cfRule>
    <cfRule type="expression" dxfId="751" priority="4893" stopIfTrue="1">
      <formula>$M$122=""</formula>
    </cfRule>
  </conditionalFormatting>
  <conditionalFormatting sqref="J11 J13 J27:J29 J32:J33 J15 J19 J21:J25">
    <cfRule type="expression" dxfId="750" priority="4920" stopIfTrue="1">
      <formula>TipoOrçamento="Licitado"</formula>
    </cfRule>
  </conditionalFormatting>
  <conditionalFormatting sqref="O11 O13:O16 O18:O19 O101:O103 O21:O37 O107:O110 O112:O120">
    <cfRule type="expression" dxfId="749" priority="3226" stopIfTrue="1">
      <formula>$J11=$C$2</formula>
    </cfRule>
    <cfRule type="expression" dxfId="748" priority="3227" stopIfTrue="1">
      <formula>AND($J11&lt;&gt;"Serviço")</formula>
    </cfRule>
    <cfRule type="expression" dxfId="747" priority="3228" stopIfTrue="1">
      <formula>CELL("proteger",O11)</formula>
    </cfRule>
  </conditionalFormatting>
  <conditionalFormatting sqref="N11 N14:N16 N18:N19 N101:N103 N21:N37 N107:N110 N112:N120">
    <cfRule type="expression" dxfId="746" priority="3229" stopIfTrue="1">
      <formula>$J11=$C$2</formula>
    </cfRule>
    <cfRule type="expression" dxfId="745" priority="3230" stopIfTrue="1">
      <formula>$J11&lt;&gt;"Serviço"</formula>
    </cfRule>
    <cfRule type="expression" dxfId="744" priority="3231" stopIfTrue="1">
      <formula>CELL("proteger",N11)</formula>
    </cfRule>
  </conditionalFormatting>
  <conditionalFormatting sqref="N13">
    <cfRule type="expression" dxfId="743" priority="3095" stopIfTrue="1">
      <formula>$J13=$C$2</formula>
    </cfRule>
    <cfRule type="expression" dxfId="742" priority="3096" stopIfTrue="1">
      <formula>$J13&lt;&gt;"Serviço"</formula>
    </cfRule>
    <cfRule type="expression" dxfId="741" priority="3097" stopIfTrue="1">
      <formula>CELL("proteger",N13)</formula>
    </cfRule>
  </conditionalFormatting>
  <conditionalFormatting sqref="J14">
    <cfRule type="expression" dxfId="740" priority="2287" stopIfTrue="1">
      <formula>TipoOrçamento="Licitado"</formula>
    </cfRule>
  </conditionalFormatting>
  <conditionalFormatting sqref="J26">
    <cfRule type="expression" dxfId="739" priority="781" stopIfTrue="1">
      <formula>TipoOrçamento="Licitado"</formula>
    </cfRule>
  </conditionalFormatting>
  <conditionalFormatting sqref="J30:J31">
    <cfRule type="expression" dxfId="738" priority="760" stopIfTrue="1">
      <formula>TipoOrçamento="Licitado"</formula>
    </cfRule>
  </conditionalFormatting>
  <conditionalFormatting sqref="J18">
    <cfRule type="expression" dxfId="737" priority="739" stopIfTrue="1">
      <formula>TipoOrçamento="Licitado"</formula>
    </cfRule>
  </conditionalFormatting>
  <conditionalFormatting sqref="J34:J37">
    <cfRule type="expression" dxfId="736" priority="718" stopIfTrue="1">
      <formula>TipoOrçamento="Licitado"</formula>
    </cfRule>
  </conditionalFormatting>
  <conditionalFormatting sqref="J16">
    <cfRule type="expression" dxfId="735" priority="697" stopIfTrue="1">
      <formula>TipoOrçamento="Licitado"</formula>
    </cfRule>
  </conditionalFormatting>
  <conditionalFormatting sqref="K17">
    <cfRule type="expression" dxfId="734" priority="663" stopIfTrue="1">
      <formula>$J17=$C$2</formula>
    </cfRule>
    <cfRule type="expression" dxfId="733" priority="664" stopIfTrue="1">
      <formula>AND($J17&lt;&gt;"",$J17&lt;&gt;"Serviço")</formula>
    </cfRule>
    <cfRule type="expression" dxfId="732" priority="665" stopIfTrue="1">
      <formula>$J17=""</formula>
    </cfRule>
  </conditionalFormatting>
  <conditionalFormatting sqref="P17">
    <cfRule type="expression" dxfId="731" priority="656" stopIfTrue="1">
      <formula>$J17=$C$2</formula>
    </cfRule>
    <cfRule type="expression" dxfId="730" priority="666" stopIfTrue="1">
      <formula>AND($J17&lt;&gt;"Serviço")</formula>
    </cfRule>
    <cfRule type="expression" dxfId="729" priority="667" stopIfTrue="1">
      <formula>CELL("proteger",P17)</formula>
    </cfRule>
  </conditionalFormatting>
  <conditionalFormatting sqref="Q17:R17">
    <cfRule type="expression" dxfId="728" priority="668" stopIfTrue="1">
      <formula>$J17=$C$2</formula>
    </cfRule>
    <cfRule type="expression" dxfId="727" priority="669" stopIfTrue="1">
      <formula>$J17&lt;&gt;"Serviço"</formula>
    </cfRule>
    <cfRule type="expression" dxfId="726" priority="670" stopIfTrue="1">
      <formula>CELL("proteger",Q17)</formula>
    </cfRule>
  </conditionalFormatting>
  <conditionalFormatting sqref="S17:T17 Y17:Z17">
    <cfRule type="expression" dxfId="725" priority="671" stopIfTrue="1">
      <formula>$J17=$C$2</formula>
    </cfRule>
    <cfRule type="expression" dxfId="724" priority="672" stopIfTrue="1">
      <formula>$J17&lt;&gt;"Serviço"</formula>
    </cfRule>
  </conditionalFormatting>
  <conditionalFormatting sqref="L17:M17">
    <cfRule type="expression" dxfId="723" priority="673" stopIfTrue="1">
      <formula>$J17=$C$2</formula>
    </cfRule>
    <cfRule type="expression" dxfId="722" priority="674" stopIfTrue="1">
      <formula>$J17&lt;&gt;"Serviço"</formula>
    </cfRule>
    <cfRule type="expression" dxfId="721" priority="675" stopIfTrue="1">
      <formula>OR(CELL("proteger",L17),$J17="",TipoOrçamento="Licitado")</formula>
    </cfRule>
  </conditionalFormatting>
  <conditionalFormatting sqref="J17">
    <cfRule type="expression" dxfId="720" priority="676" stopIfTrue="1">
      <formula>TipoOrçamento="Licitado"</formula>
    </cfRule>
  </conditionalFormatting>
  <conditionalFormatting sqref="O17">
    <cfRule type="expression" dxfId="719" priority="657" stopIfTrue="1">
      <formula>$J17=$C$2</formula>
    </cfRule>
    <cfRule type="expression" dxfId="718" priority="658" stopIfTrue="1">
      <formula>AND($J17&lt;&gt;"Serviço")</formula>
    </cfRule>
    <cfRule type="expression" dxfId="717" priority="659" stopIfTrue="1">
      <formula>CELL("proteger",O17)</formula>
    </cfRule>
  </conditionalFormatting>
  <conditionalFormatting sqref="N17">
    <cfRule type="expression" dxfId="716" priority="660" stopIfTrue="1">
      <formula>$J17=$C$2</formula>
    </cfRule>
    <cfRule type="expression" dxfId="715" priority="661" stopIfTrue="1">
      <formula>$J17&lt;&gt;"Serviço"</formula>
    </cfRule>
    <cfRule type="expression" dxfId="714" priority="662" stopIfTrue="1">
      <formula>CELL("proteger",N17)</formula>
    </cfRule>
  </conditionalFormatting>
  <conditionalFormatting sqref="K39:K40 K42:K58">
    <cfRule type="expression" dxfId="713" priority="621" stopIfTrue="1">
      <formula>$J39=$C$2</formula>
    </cfRule>
    <cfRule type="expression" dxfId="712" priority="622" stopIfTrue="1">
      <formula>AND($J39&lt;&gt;"",$J39&lt;&gt;"Serviço")</formula>
    </cfRule>
    <cfRule type="expression" dxfId="711" priority="623" stopIfTrue="1">
      <formula>$J39=""</formula>
    </cfRule>
  </conditionalFormatting>
  <conditionalFormatting sqref="P39:P40 P44:P47 P49:P58">
    <cfRule type="expression" dxfId="710" priority="614" stopIfTrue="1">
      <formula>$J39=$C$2</formula>
    </cfRule>
    <cfRule type="expression" dxfId="709" priority="624" stopIfTrue="1">
      <formula>AND($J39&lt;&gt;"Serviço")</formula>
    </cfRule>
    <cfRule type="expression" dxfId="708" priority="625" stopIfTrue="1">
      <formula>CELL("proteger",P39)</formula>
    </cfRule>
  </conditionalFormatting>
  <conditionalFormatting sqref="Q39:R40 Q44:R58 R42:R43">
    <cfRule type="expression" dxfId="707" priority="626" stopIfTrue="1">
      <formula>$J39=$C$2</formula>
    </cfRule>
    <cfRule type="expression" dxfId="706" priority="627" stopIfTrue="1">
      <formula>$J39&lt;&gt;"Serviço"</formula>
    </cfRule>
    <cfRule type="expression" dxfId="705" priority="628" stopIfTrue="1">
      <formula>CELL("proteger",Q39)</formula>
    </cfRule>
  </conditionalFormatting>
  <conditionalFormatting sqref="Y39:Z40 S39:T40 S42:T58 Y42:Z58">
    <cfRule type="expression" dxfId="704" priority="629" stopIfTrue="1">
      <formula>$J39=$C$2</formula>
    </cfRule>
    <cfRule type="expression" dxfId="703" priority="630" stopIfTrue="1">
      <formula>$J39&lt;&gt;"Serviço"</formula>
    </cfRule>
  </conditionalFormatting>
  <conditionalFormatting sqref="L39:M40 L44:M58">
    <cfRule type="expression" dxfId="702" priority="631" stopIfTrue="1">
      <formula>$J39=$C$2</formula>
    </cfRule>
    <cfRule type="expression" dxfId="701" priority="632" stopIfTrue="1">
      <formula>$J39&lt;&gt;"Serviço"</formula>
    </cfRule>
    <cfRule type="expression" dxfId="700" priority="633" stopIfTrue="1">
      <formula>OR(CELL("proteger",L39),$J39="",TipoOrçamento="Licitado")</formula>
    </cfRule>
  </conditionalFormatting>
  <conditionalFormatting sqref="J48:J50 J53:J54 J40 J42:J46">
    <cfRule type="expression" dxfId="699" priority="634" stopIfTrue="1">
      <formula>TipoOrçamento="Licitado"</formula>
    </cfRule>
  </conditionalFormatting>
  <conditionalFormatting sqref="O39:O40 O44:O47 O49:O58">
    <cfRule type="expression" dxfId="698" priority="615" stopIfTrue="1">
      <formula>$J39=$C$2</formula>
    </cfRule>
    <cfRule type="expression" dxfId="697" priority="616" stopIfTrue="1">
      <formula>AND($J39&lt;&gt;"Serviço")</formula>
    </cfRule>
    <cfRule type="expression" dxfId="696" priority="617" stopIfTrue="1">
      <formula>CELL("proteger",O39)</formula>
    </cfRule>
  </conditionalFormatting>
  <conditionalFormatting sqref="N39:N40 N44:N47 N49:N58">
    <cfRule type="expression" dxfId="695" priority="618" stopIfTrue="1">
      <formula>$J39=$C$2</formula>
    </cfRule>
    <cfRule type="expression" dxfId="694" priority="619" stopIfTrue="1">
      <formula>$J39&lt;&gt;"Serviço"</formula>
    </cfRule>
    <cfRule type="expression" dxfId="693" priority="620" stopIfTrue="1">
      <formula>CELL("proteger",N39)</formula>
    </cfRule>
  </conditionalFormatting>
  <conditionalFormatting sqref="J47">
    <cfRule type="expression" dxfId="692" priority="613" stopIfTrue="1">
      <formula>TipoOrçamento="Licitado"</formula>
    </cfRule>
  </conditionalFormatting>
  <conditionalFormatting sqref="J51:J52">
    <cfRule type="expression" dxfId="691" priority="612" stopIfTrue="1">
      <formula>TipoOrçamento="Licitado"</formula>
    </cfRule>
  </conditionalFormatting>
  <conditionalFormatting sqref="J39">
    <cfRule type="expression" dxfId="690" priority="611" stopIfTrue="1">
      <formula>TipoOrçamento="Licitado"</formula>
    </cfRule>
  </conditionalFormatting>
  <conditionalFormatting sqref="J55:J58">
    <cfRule type="expression" dxfId="689" priority="610" stopIfTrue="1">
      <formula>TipoOrçamento="Licitado"</formula>
    </cfRule>
  </conditionalFormatting>
  <conditionalFormatting sqref="K38">
    <cfRule type="expression" dxfId="688" priority="596" stopIfTrue="1">
      <formula>$J38=$C$2</formula>
    </cfRule>
    <cfRule type="expression" dxfId="687" priority="597" stopIfTrue="1">
      <formula>AND($J38&lt;&gt;"",$J38&lt;&gt;"Serviço")</formula>
    </cfRule>
    <cfRule type="expression" dxfId="686" priority="598" stopIfTrue="1">
      <formula>$J38=""</formula>
    </cfRule>
  </conditionalFormatting>
  <conditionalFormatting sqref="P38">
    <cfRule type="expression" dxfId="685" priority="589" stopIfTrue="1">
      <formula>$J38=$C$2</formula>
    </cfRule>
    <cfRule type="expression" dxfId="684" priority="599" stopIfTrue="1">
      <formula>AND($J38&lt;&gt;"Serviço")</formula>
    </cfRule>
    <cfRule type="expression" dxfId="683" priority="600" stopIfTrue="1">
      <formula>CELL("proteger",P38)</formula>
    </cfRule>
  </conditionalFormatting>
  <conditionalFormatting sqref="Q38:R38">
    <cfRule type="expression" dxfId="682" priority="601" stopIfTrue="1">
      <formula>$J38=$C$2</formula>
    </cfRule>
    <cfRule type="expression" dxfId="681" priority="602" stopIfTrue="1">
      <formula>$J38&lt;&gt;"Serviço"</formula>
    </cfRule>
    <cfRule type="expression" dxfId="680" priority="603" stopIfTrue="1">
      <formula>CELL("proteger",Q38)</formula>
    </cfRule>
  </conditionalFormatting>
  <conditionalFormatting sqref="S38:T38 Y38:Z38">
    <cfRule type="expression" dxfId="679" priority="604" stopIfTrue="1">
      <formula>$J38=$C$2</formula>
    </cfRule>
    <cfRule type="expression" dxfId="678" priority="605" stopIfTrue="1">
      <formula>$J38&lt;&gt;"Serviço"</formula>
    </cfRule>
  </conditionalFormatting>
  <conditionalFormatting sqref="L38:M38">
    <cfRule type="expression" dxfId="677" priority="606" stopIfTrue="1">
      <formula>$J38=$C$2</formula>
    </cfRule>
    <cfRule type="expression" dxfId="676" priority="607" stopIfTrue="1">
      <formula>$J38&lt;&gt;"Serviço"</formula>
    </cfRule>
    <cfRule type="expression" dxfId="675" priority="608" stopIfTrue="1">
      <formula>OR(CELL("proteger",L38),$J38="",TipoOrçamento="Licitado")</formula>
    </cfRule>
  </conditionalFormatting>
  <conditionalFormatting sqref="J38">
    <cfRule type="expression" dxfId="674" priority="609" stopIfTrue="1">
      <formula>TipoOrçamento="Licitado"</formula>
    </cfRule>
  </conditionalFormatting>
  <conditionalFormatting sqref="O38">
    <cfRule type="expression" dxfId="673" priority="590" stopIfTrue="1">
      <formula>$J38=$C$2</formula>
    </cfRule>
    <cfRule type="expression" dxfId="672" priority="591" stopIfTrue="1">
      <formula>AND($J38&lt;&gt;"Serviço")</formula>
    </cfRule>
    <cfRule type="expression" dxfId="671" priority="592" stopIfTrue="1">
      <formula>CELL("proteger",O38)</formula>
    </cfRule>
  </conditionalFormatting>
  <conditionalFormatting sqref="N38">
    <cfRule type="expression" dxfId="670" priority="593" stopIfTrue="1">
      <formula>$J38=$C$2</formula>
    </cfRule>
    <cfRule type="expression" dxfId="669" priority="594" stopIfTrue="1">
      <formula>$J38&lt;&gt;"Serviço"</formula>
    </cfRule>
    <cfRule type="expression" dxfId="668" priority="595" stopIfTrue="1">
      <formula>CELL("proteger",N38)</formula>
    </cfRule>
  </conditionalFormatting>
  <conditionalFormatting sqref="K60:K61 K63:K79">
    <cfRule type="expression" dxfId="667" priority="575" stopIfTrue="1">
      <formula>$J60=$C$2</formula>
    </cfRule>
    <cfRule type="expression" dxfId="666" priority="576" stopIfTrue="1">
      <formula>AND($J60&lt;&gt;"",$J60&lt;&gt;"Serviço")</formula>
    </cfRule>
    <cfRule type="expression" dxfId="665" priority="577" stopIfTrue="1">
      <formula>$J60=""</formula>
    </cfRule>
  </conditionalFormatting>
  <conditionalFormatting sqref="P60:P61 P65:P68 P70:P79">
    <cfRule type="expression" dxfId="664" priority="568" stopIfTrue="1">
      <formula>$J60=$C$2</formula>
    </cfRule>
    <cfRule type="expression" dxfId="663" priority="578" stopIfTrue="1">
      <formula>AND($J60&lt;&gt;"Serviço")</formula>
    </cfRule>
    <cfRule type="expression" dxfId="662" priority="579" stopIfTrue="1">
      <formula>CELL("proteger",P60)</formula>
    </cfRule>
  </conditionalFormatting>
  <conditionalFormatting sqref="Q60:R61 Q65:R79 R63:R64">
    <cfRule type="expression" dxfId="661" priority="580" stopIfTrue="1">
      <formula>$J60=$C$2</formula>
    </cfRule>
    <cfRule type="expression" dxfId="660" priority="581" stopIfTrue="1">
      <formula>$J60&lt;&gt;"Serviço"</formula>
    </cfRule>
    <cfRule type="expression" dxfId="659" priority="582" stopIfTrue="1">
      <formula>CELL("proteger",Q60)</formula>
    </cfRule>
  </conditionalFormatting>
  <conditionalFormatting sqref="Y60:Z61 S60:T61 S63:T79 Y63:Z79">
    <cfRule type="expression" dxfId="658" priority="583" stopIfTrue="1">
      <formula>$J60=$C$2</formula>
    </cfRule>
    <cfRule type="expression" dxfId="657" priority="584" stopIfTrue="1">
      <formula>$J60&lt;&gt;"Serviço"</formula>
    </cfRule>
  </conditionalFormatting>
  <conditionalFormatting sqref="L60:M61 L65:M79">
    <cfRule type="expression" dxfId="656" priority="585" stopIfTrue="1">
      <formula>$J60=$C$2</formula>
    </cfRule>
    <cfRule type="expression" dxfId="655" priority="586" stopIfTrue="1">
      <formula>$J60&lt;&gt;"Serviço"</formula>
    </cfRule>
    <cfRule type="expression" dxfId="654" priority="587" stopIfTrue="1">
      <formula>OR(CELL("proteger",L60),$J60="",TipoOrçamento="Licitado")</formula>
    </cfRule>
  </conditionalFormatting>
  <conditionalFormatting sqref="J69:J71 J74:J75 J61 J63:J67">
    <cfRule type="expression" dxfId="653" priority="588" stopIfTrue="1">
      <formula>TipoOrçamento="Licitado"</formula>
    </cfRule>
  </conditionalFormatting>
  <conditionalFormatting sqref="O60:O61 O65:O68 O70:O79">
    <cfRule type="expression" dxfId="652" priority="569" stopIfTrue="1">
      <formula>$J60=$C$2</formula>
    </cfRule>
    <cfRule type="expression" dxfId="651" priority="570" stopIfTrue="1">
      <formula>AND($J60&lt;&gt;"Serviço")</formula>
    </cfRule>
    <cfRule type="expression" dxfId="650" priority="571" stopIfTrue="1">
      <formula>CELL("proteger",O60)</formula>
    </cfRule>
  </conditionalFormatting>
  <conditionalFormatting sqref="N60:N61 N65:N68 N70:N79">
    <cfRule type="expression" dxfId="649" priority="572" stopIfTrue="1">
      <formula>$J60=$C$2</formula>
    </cfRule>
    <cfRule type="expression" dxfId="648" priority="573" stopIfTrue="1">
      <formula>$J60&lt;&gt;"Serviço"</formula>
    </cfRule>
    <cfRule type="expression" dxfId="647" priority="574" stopIfTrue="1">
      <formula>CELL("proteger",N60)</formula>
    </cfRule>
  </conditionalFormatting>
  <conditionalFormatting sqref="J68">
    <cfRule type="expression" dxfId="646" priority="567" stopIfTrue="1">
      <formula>TipoOrçamento="Licitado"</formula>
    </cfRule>
  </conditionalFormatting>
  <conditionalFormatting sqref="J72:J73">
    <cfRule type="expression" dxfId="645" priority="566" stopIfTrue="1">
      <formula>TipoOrçamento="Licitado"</formula>
    </cfRule>
  </conditionalFormatting>
  <conditionalFormatting sqref="J60">
    <cfRule type="expression" dxfId="644" priority="565" stopIfTrue="1">
      <formula>TipoOrçamento="Licitado"</formula>
    </cfRule>
  </conditionalFormatting>
  <conditionalFormatting sqref="J76:J79">
    <cfRule type="expression" dxfId="643" priority="564" stopIfTrue="1">
      <formula>TipoOrçamento="Licitado"</formula>
    </cfRule>
  </conditionalFormatting>
  <conditionalFormatting sqref="K59">
    <cfRule type="expression" dxfId="642" priority="550" stopIfTrue="1">
      <formula>$J59=$C$2</formula>
    </cfRule>
    <cfRule type="expression" dxfId="641" priority="551" stopIfTrue="1">
      <formula>AND($J59&lt;&gt;"",$J59&lt;&gt;"Serviço")</formula>
    </cfRule>
    <cfRule type="expression" dxfId="640" priority="552" stopIfTrue="1">
      <formula>$J59=""</formula>
    </cfRule>
  </conditionalFormatting>
  <conditionalFormatting sqref="P59">
    <cfRule type="expression" dxfId="639" priority="543" stopIfTrue="1">
      <formula>$J59=$C$2</formula>
    </cfRule>
    <cfRule type="expression" dxfId="638" priority="553" stopIfTrue="1">
      <formula>AND($J59&lt;&gt;"Serviço")</formula>
    </cfRule>
    <cfRule type="expression" dxfId="637" priority="554" stopIfTrue="1">
      <formula>CELL("proteger",P59)</formula>
    </cfRule>
  </conditionalFormatting>
  <conditionalFormatting sqref="Q59:R59">
    <cfRule type="expression" dxfId="636" priority="555" stopIfTrue="1">
      <formula>$J59=$C$2</formula>
    </cfRule>
    <cfRule type="expression" dxfId="635" priority="556" stopIfTrue="1">
      <formula>$J59&lt;&gt;"Serviço"</formula>
    </cfRule>
    <cfRule type="expression" dxfId="634" priority="557" stopIfTrue="1">
      <formula>CELL("proteger",Q59)</formula>
    </cfRule>
  </conditionalFormatting>
  <conditionalFormatting sqref="S59:T59 Y59:Z59">
    <cfRule type="expression" dxfId="633" priority="558" stopIfTrue="1">
      <formula>$J59=$C$2</formula>
    </cfRule>
    <cfRule type="expression" dxfId="632" priority="559" stopIfTrue="1">
      <formula>$J59&lt;&gt;"Serviço"</formula>
    </cfRule>
  </conditionalFormatting>
  <conditionalFormatting sqref="L59:M59">
    <cfRule type="expression" dxfId="631" priority="560" stopIfTrue="1">
      <formula>$J59=$C$2</formula>
    </cfRule>
    <cfRule type="expression" dxfId="630" priority="561" stopIfTrue="1">
      <formula>$J59&lt;&gt;"Serviço"</formula>
    </cfRule>
    <cfRule type="expression" dxfId="629" priority="562" stopIfTrue="1">
      <formula>OR(CELL("proteger",L59),$J59="",TipoOrçamento="Licitado")</formula>
    </cfRule>
  </conditionalFormatting>
  <conditionalFormatting sqref="J59">
    <cfRule type="expression" dxfId="628" priority="563" stopIfTrue="1">
      <formula>TipoOrçamento="Licitado"</formula>
    </cfRule>
  </conditionalFormatting>
  <conditionalFormatting sqref="O59">
    <cfRule type="expression" dxfId="627" priority="544" stopIfTrue="1">
      <formula>$J59=$C$2</formula>
    </cfRule>
    <cfRule type="expression" dxfId="626" priority="545" stopIfTrue="1">
      <formula>AND($J59&lt;&gt;"Serviço")</formula>
    </cfRule>
    <cfRule type="expression" dxfId="625" priority="546" stopIfTrue="1">
      <formula>CELL("proteger",O59)</formula>
    </cfRule>
  </conditionalFormatting>
  <conditionalFormatting sqref="N59">
    <cfRule type="expression" dxfId="624" priority="547" stopIfTrue="1">
      <formula>$J59=$C$2</formula>
    </cfRule>
    <cfRule type="expression" dxfId="623" priority="548" stopIfTrue="1">
      <formula>$J59&lt;&gt;"Serviço"</formula>
    </cfRule>
    <cfRule type="expression" dxfId="622" priority="549" stopIfTrue="1">
      <formula>CELL("proteger",N59)</formula>
    </cfRule>
  </conditionalFormatting>
  <conditionalFormatting sqref="K81:K82 K84:K100">
    <cfRule type="expression" dxfId="621" priority="529" stopIfTrue="1">
      <formula>$J81=$C$2</formula>
    </cfRule>
    <cfRule type="expression" dxfId="620" priority="530" stopIfTrue="1">
      <formula>AND($J81&lt;&gt;"",$J81&lt;&gt;"Serviço")</formula>
    </cfRule>
    <cfRule type="expression" dxfId="619" priority="531" stopIfTrue="1">
      <formula>$J81=""</formula>
    </cfRule>
  </conditionalFormatting>
  <conditionalFormatting sqref="P81:P82 P86:P89 P91:P100">
    <cfRule type="expression" dxfId="618" priority="522" stopIfTrue="1">
      <formula>$J81=$C$2</formula>
    </cfRule>
    <cfRule type="expression" dxfId="617" priority="532" stopIfTrue="1">
      <formula>AND($J81&lt;&gt;"Serviço")</formula>
    </cfRule>
    <cfRule type="expression" dxfId="616" priority="533" stopIfTrue="1">
      <formula>CELL("proteger",P81)</formula>
    </cfRule>
  </conditionalFormatting>
  <conditionalFormatting sqref="Q81:R82 Q86:R100 R84:R85">
    <cfRule type="expression" dxfId="615" priority="534" stopIfTrue="1">
      <formula>$J81=$C$2</formula>
    </cfRule>
    <cfRule type="expression" dxfId="614" priority="535" stopIfTrue="1">
      <formula>$J81&lt;&gt;"Serviço"</formula>
    </cfRule>
    <cfRule type="expression" dxfId="613" priority="536" stopIfTrue="1">
      <formula>CELL("proteger",Q81)</formula>
    </cfRule>
  </conditionalFormatting>
  <conditionalFormatting sqref="Y81:Z82 S81:T82 S84:T100 Y84:Z100">
    <cfRule type="expression" dxfId="612" priority="537" stopIfTrue="1">
      <formula>$J81=$C$2</formula>
    </cfRule>
    <cfRule type="expression" dxfId="611" priority="538" stopIfTrue="1">
      <formula>$J81&lt;&gt;"Serviço"</formula>
    </cfRule>
  </conditionalFormatting>
  <conditionalFormatting sqref="L81:M82 L86:M100">
    <cfRule type="expression" dxfId="610" priority="539" stopIfTrue="1">
      <formula>$J81=$C$2</formula>
    </cfRule>
    <cfRule type="expression" dxfId="609" priority="540" stopIfTrue="1">
      <formula>$J81&lt;&gt;"Serviço"</formula>
    </cfRule>
    <cfRule type="expression" dxfId="608" priority="541" stopIfTrue="1">
      <formula>OR(CELL("proteger",L81),$J81="",TipoOrçamento="Licitado")</formula>
    </cfRule>
  </conditionalFormatting>
  <conditionalFormatting sqref="J90:J92 J95:J96 J82 J84:J88">
    <cfRule type="expression" dxfId="607" priority="542" stopIfTrue="1">
      <formula>TipoOrçamento="Licitado"</formula>
    </cfRule>
  </conditionalFormatting>
  <conditionalFormatting sqref="O81:O82 O86:O89 O91:O100">
    <cfRule type="expression" dxfId="606" priority="523" stopIfTrue="1">
      <formula>$J81=$C$2</formula>
    </cfRule>
    <cfRule type="expression" dxfId="605" priority="524" stopIfTrue="1">
      <formula>AND($J81&lt;&gt;"Serviço")</formula>
    </cfRule>
    <cfRule type="expression" dxfId="604" priority="525" stopIfTrue="1">
      <formula>CELL("proteger",O81)</formula>
    </cfRule>
  </conditionalFormatting>
  <conditionalFormatting sqref="N81:N82 N86:N89 N91:N100">
    <cfRule type="expression" dxfId="603" priority="526" stopIfTrue="1">
      <formula>$J81=$C$2</formula>
    </cfRule>
    <cfRule type="expression" dxfId="602" priority="527" stopIfTrue="1">
      <formula>$J81&lt;&gt;"Serviço"</formula>
    </cfRule>
    <cfRule type="expression" dxfId="601" priority="528" stopIfTrue="1">
      <formula>CELL("proteger",N81)</formula>
    </cfRule>
  </conditionalFormatting>
  <conditionalFormatting sqref="J89">
    <cfRule type="expression" dxfId="600" priority="521" stopIfTrue="1">
      <formula>TipoOrçamento="Licitado"</formula>
    </cfRule>
  </conditionalFormatting>
  <conditionalFormatting sqref="J93:J94">
    <cfRule type="expression" dxfId="599" priority="520" stopIfTrue="1">
      <formula>TipoOrçamento="Licitado"</formula>
    </cfRule>
  </conditionalFormatting>
  <conditionalFormatting sqref="J81">
    <cfRule type="expression" dxfId="598" priority="519" stopIfTrue="1">
      <formula>TipoOrçamento="Licitado"</formula>
    </cfRule>
  </conditionalFormatting>
  <conditionalFormatting sqref="J97:J100">
    <cfRule type="expression" dxfId="597" priority="518" stopIfTrue="1">
      <formula>TipoOrçamento="Licitado"</formula>
    </cfRule>
  </conditionalFormatting>
  <conditionalFormatting sqref="K80">
    <cfRule type="expression" dxfId="596" priority="504" stopIfTrue="1">
      <formula>$J80=$C$2</formula>
    </cfRule>
    <cfRule type="expression" dxfId="595" priority="505" stopIfTrue="1">
      <formula>AND($J80&lt;&gt;"",$J80&lt;&gt;"Serviço")</formula>
    </cfRule>
    <cfRule type="expression" dxfId="594" priority="506" stopIfTrue="1">
      <formula>$J80=""</formula>
    </cfRule>
  </conditionalFormatting>
  <conditionalFormatting sqref="P80">
    <cfRule type="expression" dxfId="593" priority="497" stopIfTrue="1">
      <formula>$J80=$C$2</formula>
    </cfRule>
    <cfRule type="expression" dxfId="592" priority="507" stopIfTrue="1">
      <formula>AND($J80&lt;&gt;"Serviço")</formula>
    </cfRule>
    <cfRule type="expression" dxfId="591" priority="508" stopIfTrue="1">
      <formula>CELL("proteger",P80)</formula>
    </cfRule>
  </conditionalFormatting>
  <conditionalFormatting sqref="Q80:R80">
    <cfRule type="expression" dxfId="590" priority="509" stopIfTrue="1">
      <formula>$J80=$C$2</formula>
    </cfRule>
    <cfRule type="expression" dxfId="589" priority="510" stopIfTrue="1">
      <formula>$J80&lt;&gt;"Serviço"</formula>
    </cfRule>
    <cfRule type="expression" dxfId="588" priority="511" stopIfTrue="1">
      <formula>CELL("proteger",Q80)</formula>
    </cfRule>
  </conditionalFormatting>
  <conditionalFormatting sqref="S80:T80 Y80:Z80">
    <cfRule type="expression" dxfId="587" priority="512" stopIfTrue="1">
      <formula>$J80=$C$2</formula>
    </cfRule>
    <cfRule type="expression" dxfId="586" priority="513" stopIfTrue="1">
      <formula>$J80&lt;&gt;"Serviço"</formula>
    </cfRule>
  </conditionalFormatting>
  <conditionalFormatting sqref="L80:M80">
    <cfRule type="expression" dxfId="585" priority="514" stopIfTrue="1">
      <formula>$J80=$C$2</formula>
    </cfRule>
    <cfRule type="expression" dxfId="584" priority="515" stopIfTrue="1">
      <formula>$J80&lt;&gt;"Serviço"</formula>
    </cfRule>
    <cfRule type="expression" dxfId="583" priority="516" stopIfTrue="1">
      <formula>OR(CELL("proteger",L80),$J80="",TipoOrçamento="Licitado")</formula>
    </cfRule>
  </conditionalFormatting>
  <conditionalFormatting sqref="J80">
    <cfRule type="expression" dxfId="582" priority="517" stopIfTrue="1">
      <formula>TipoOrçamento="Licitado"</formula>
    </cfRule>
  </conditionalFormatting>
  <conditionalFormatting sqref="O80">
    <cfRule type="expression" dxfId="581" priority="498" stopIfTrue="1">
      <formula>$J80=$C$2</formula>
    </cfRule>
    <cfRule type="expression" dxfId="580" priority="499" stopIfTrue="1">
      <formula>AND($J80&lt;&gt;"Serviço")</formula>
    </cfRule>
    <cfRule type="expression" dxfId="579" priority="500" stopIfTrue="1">
      <formula>CELL("proteger",O80)</formula>
    </cfRule>
  </conditionalFormatting>
  <conditionalFormatting sqref="N80">
    <cfRule type="expression" dxfId="578" priority="501" stopIfTrue="1">
      <formula>$J80=$C$2</formula>
    </cfRule>
    <cfRule type="expression" dxfId="577" priority="502" stopIfTrue="1">
      <formula>$J80&lt;&gt;"Serviço"</formula>
    </cfRule>
    <cfRule type="expression" dxfId="576" priority="503" stopIfTrue="1">
      <formula>CELL("proteger",N80)</formula>
    </cfRule>
  </conditionalFormatting>
  <conditionalFormatting sqref="J111:J113 J116:J117 J103 J105:J109">
    <cfRule type="expression" dxfId="575" priority="496" stopIfTrue="1">
      <formula>TipoOrçamento="Licitado"</formula>
    </cfRule>
  </conditionalFormatting>
  <conditionalFormatting sqref="J110">
    <cfRule type="expression" dxfId="574" priority="475" stopIfTrue="1">
      <formula>TipoOrçamento="Licitado"</formula>
    </cfRule>
  </conditionalFormatting>
  <conditionalFormatting sqref="J114:J115">
    <cfRule type="expression" dxfId="573" priority="474" stopIfTrue="1">
      <formula>TipoOrçamento="Licitado"</formula>
    </cfRule>
  </conditionalFormatting>
  <conditionalFormatting sqref="J102">
    <cfRule type="expression" dxfId="572" priority="473" stopIfTrue="1">
      <formula>TipoOrçamento="Licitado"</formula>
    </cfRule>
  </conditionalFormatting>
  <conditionalFormatting sqref="J118:J120">
    <cfRule type="expression" dxfId="571" priority="472" stopIfTrue="1">
      <formula>TipoOrçamento="Licitado"</formula>
    </cfRule>
  </conditionalFormatting>
  <conditionalFormatting sqref="J101">
    <cfRule type="expression" dxfId="570" priority="471" stopIfTrue="1">
      <formula>TipoOrçamento="Licitado"</formula>
    </cfRule>
  </conditionalFormatting>
  <conditionalFormatting sqref="K20">
    <cfRule type="expression" dxfId="569" priority="437" stopIfTrue="1">
      <formula>$J20=$C$2</formula>
    </cfRule>
    <cfRule type="expression" dxfId="568" priority="438" stopIfTrue="1">
      <formula>AND($J20&lt;&gt;"",$J20&lt;&gt;"Serviço")</formula>
    </cfRule>
    <cfRule type="expression" dxfId="567" priority="439" stopIfTrue="1">
      <formula>$J20=""</formula>
    </cfRule>
  </conditionalFormatting>
  <conditionalFormatting sqref="R20">
    <cfRule type="expression" dxfId="566" priority="442" stopIfTrue="1">
      <formula>$J20=$C$2</formula>
    </cfRule>
    <cfRule type="expression" dxfId="565" priority="443" stopIfTrue="1">
      <formula>$J20&lt;&gt;"Serviço"</formula>
    </cfRule>
    <cfRule type="expression" dxfId="564" priority="444" stopIfTrue="1">
      <formula>CELL("proteger",R20)</formula>
    </cfRule>
  </conditionalFormatting>
  <conditionalFormatting sqref="S20:T20 Y20:Z20">
    <cfRule type="expression" dxfId="563" priority="445" stopIfTrue="1">
      <formula>$J20=$C$2</formula>
    </cfRule>
    <cfRule type="expression" dxfId="562" priority="446" stopIfTrue="1">
      <formula>$J20&lt;&gt;"Serviço"</formula>
    </cfRule>
  </conditionalFormatting>
  <conditionalFormatting sqref="J20">
    <cfRule type="expression" dxfId="561" priority="450" stopIfTrue="1">
      <formula>TipoOrçamento="Licitado"</formula>
    </cfRule>
  </conditionalFormatting>
  <conditionalFormatting sqref="L20">
    <cfRule type="expression" dxfId="560" priority="412" stopIfTrue="1">
      <formula>$J20=$C$2</formula>
    </cfRule>
    <cfRule type="expression" dxfId="559" priority="413" stopIfTrue="1">
      <formula>$J20&lt;&gt;"Serviço"</formula>
    </cfRule>
    <cfRule type="expression" dxfId="558" priority="414" stopIfTrue="1">
      <formula>OR(CELL("proteger",L20),$J20="",TipoOrçamento="Licitado")</formula>
    </cfRule>
  </conditionalFormatting>
  <conditionalFormatting sqref="O20">
    <cfRule type="expression" dxfId="557" priority="409" stopIfTrue="1">
      <formula>$J20=$C$2</formula>
    </cfRule>
    <cfRule type="expression" dxfId="556" priority="410" stopIfTrue="1">
      <formula>AND($J20&lt;&gt;"Serviço")</formula>
    </cfRule>
    <cfRule type="expression" dxfId="555" priority="411" stopIfTrue="1">
      <formula>CELL("proteger",O20)</formula>
    </cfRule>
  </conditionalFormatting>
  <conditionalFormatting sqref="M20">
    <cfRule type="expression" dxfId="554" priority="406" stopIfTrue="1">
      <formula>$J20=$C$2</formula>
    </cfRule>
    <cfRule type="expression" dxfId="553" priority="407" stopIfTrue="1">
      <formula>$J20&lt;&gt;"Serviço"</formula>
    </cfRule>
    <cfRule type="expression" dxfId="552" priority="408" stopIfTrue="1">
      <formula>OR(CELL("proteger",M20),$J20="",TipoOrçamento="Licitado")</formula>
    </cfRule>
  </conditionalFormatting>
  <conditionalFormatting sqref="N20">
    <cfRule type="expression" dxfId="551" priority="403" stopIfTrue="1">
      <formula>$J20=$C$2</formula>
    </cfRule>
    <cfRule type="expression" dxfId="550" priority="404" stopIfTrue="1">
      <formula>$J20&lt;&gt;"Serviço"</formula>
    </cfRule>
    <cfRule type="expression" dxfId="549" priority="405" stopIfTrue="1">
      <formula>CELL("proteger",N20)</formula>
    </cfRule>
  </conditionalFormatting>
  <conditionalFormatting sqref="P20">
    <cfRule type="expression" dxfId="548" priority="397" stopIfTrue="1">
      <formula>$J20=$C$2</formula>
    </cfRule>
    <cfRule type="expression" dxfId="547" priority="398" stopIfTrue="1">
      <formula>AND($J20&lt;&gt;"Serviço")</formula>
    </cfRule>
    <cfRule type="expression" dxfId="546" priority="399" stopIfTrue="1">
      <formula>CELL("proteger",P20)</formula>
    </cfRule>
  </conditionalFormatting>
  <conditionalFormatting sqref="Q20">
    <cfRule type="expression" dxfId="545" priority="400" stopIfTrue="1">
      <formula>$J20=$C$2</formula>
    </cfRule>
    <cfRule type="expression" dxfId="544" priority="401" stopIfTrue="1">
      <formula>$J20&lt;&gt;"Serviço"</formula>
    </cfRule>
    <cfRule type="expression" dxfId="543" priority="402" stopIfTrue="1">
      <formula>CELL("proteger",Q20)</formula>
    </cfRule>
  </conditionalFormatting>
  <conditionalFormatting sqref="K41">
    <cfRule type="expression" dxfId="542" priority="383" stopIfTrue="1">
      <formula>$J41=$C$2</formula>
    </cfRule>
    <cfRule type="expression" dxfId="541" priority="384" stopIfTrue="1">
      <formula>AND($J41&lt;&gt;"",$J41&lt;&gt;"Serviço")</formula>
    </cfRule>
    <cfRule type="expression" dxfId="540" priority="385" stopIfTrue="1">
      <formula>$J41=""</formula>
    </cfRule>
  </conditionalFormatting>
  <conditionalFormatting sqref="R41">
    <cfRule type="expression" dxfId="539" priority="388" stopIfTrue="1">
      <formula>$J41=$C$2</formula>
    </cfRule>
    <cfRule type="expression" dxfId="538" priority="389" stopIfTrue="1">
      <formula>$J41&lt;&gt;"Serviço"</formula>
    </cfRule>
    <cfRule type="expression" dxfId="537" priority="390" stopIfTrue="1">
      <formula>CELL("proteger",R41)</formula>
    </cfRule>
  </conditionalFormatting>
  <conditionalFormatting sqref="S41:T41 Y41:Z41">
    <cfRule type="expression" dxfId="536" priority="391" stopIfTrue="1">
      <formula>$J41=$C$2</formula>
    </cfRule>
    <cfRule type="expression" dxfId="535" priority="392" stopIfTrue="1">
      <formula>$J41&lt;&gt;"Serviço"</formula>
    </cfRule>
  </conditionalFormatting>
  <conditionalFormatting sqref="J41">
    <cfRule type="expression" dxfId="534" priority="396" stopIfTrue="1">
      <formula>TipoOrçamento="Licitado"</formula>
    </cfRule>
  </conditionalFormatting>
  <conditionalFormatting sqref="K62">
    <cfRule type="expression" dxfId="533" priority="362" stopIfTrue="1">
      <formula>$J62=$C$2</formula>
    </cfRule>
    <cfRule type="expression" dxfId="532" priority="363" stopIfTrue="1">
      <formula>AND($J62&lt;&gt;"",$J62&lt;&gt;"Serviço")</formula>
    </cfRule>
    <cfRule type="expression" dxfId="531" priority="364" stopIfTrue="1">
      <formula>$J62=""</formula>
    </cfRule>
  </conditionalFormatting>
  <conditionalFormatting sqref="R62">
    <cfRule type="expression" dxfId="530" priority="367" stopIfTrue="1">
      <formula>$J62=$C$2</formula>
    </cfRule>
    <cfRule type="expression" dxfId="529" priority="368" stopIfTrue="1">
      <formula>$J62&lt;&gt;"Serviço"</formula>
    </cfRule>
    <cfRule type="expression" dxfId="528" priority="369" stopIfTrue="1">
      <formula>CELL("proteger",R62)</formula>
    </cfRule>
  </conditionalFormatting>
  <conditionalFormatting sqref="S62:T62 Y62:Z62">
    <cfRule type="expression" dxfId="527" priority="370" stopIfTrue="1">
      <formula>$J62=$C$2</formula>
    </cfRule>
    <cfRule type="expression" dxfId="526" priority="371" stopIfTrue="1">
      <formula>$J62&lt;&gt;"Serviço"</formula>
    </cfRule>
  </conditionalFormatting>
  <conditionalFormatting sqref="J62">
    <cfRule type="expression" dxfId="525" priority="375" stopIfTrue="1">
      <formula>TipoOrçamento="Licitado"</formula>
    </cfRule>
  </conditionalFormatting>
  <conditionalFormatting sqref="K83">
    <cfRule type="expression" dxfId="524" priority="341" stopIfTrue="1">
      <formula>$J83=$C$2</formula>
    </cfRule>
    <cfRule type="expression" dxfId="523" priority="342" stopIfTrue="1">
      <formula>AND($J83&lt;&gt;"",$J83&lt;&gt;"Serviço")</formula>
    </cfRule>
    <cfRule type="expression" dxfId="522" priority="343" stopIfTrue="1">
      <formula>$J83=""</formula>
    </cfRule>
  </conditionalFormatting>
  <conditionalFormatting sqref="R83">
    <cfRule type="expression" dxfId="521" priority="346" stopIfTrue="1">
      <formula>$J83=$C$2</formula>
    </cfRule>
    <cfRule type="expression" dxfId="520" priority="347" stopIfTrue="1">
      <formula>$J83&lt;&gt;"Serviço"</formula>
    </cfRule>
    <cfRule type="expression" dxfId="519" priority="348" stopIfTrue="1">
      <formula>CELL("proteger",R83)</formula>
    </cfRule>
  </conditionalFormatting>
  <conditionalFormatting sqref="S83:T83 Y83:Z83">
    <cfRule type="expression" dxfId="518" priority="349" stopIfTrue="1">
      <formula>$J83=$C$2</formula>
    </cfRule>
    <cfRule type="expression" dxfId="517" priority="350" stopIfTrue="1">
      <formula>$J83&lt;&gt;"Serviço"</formula>
    </cfRule>
  </conditionalFormatting>
  <conditionalFormatting sqref="J83">
    <cfRule type="expression" dxfId="516" priority="354" stopIfTrue="1">
      <formula>TipoOrçamento="Licitado"</formula>
    </cfRule>
  </conditionalFormatting>
  <conditionalFormatting sqref="K104">
    <cfRule type="expression" dxfId="515" priority="320" stopIfTrue="1">
      <formula>$J104=$C$2</formula>
    </cfRule>
    <cfRule type="expression" dxfId="514" priority="321" stopIfTrue="1">
      <formula>AND($J104&lt;&gt;"",$J104&lt;&gt;"Serviço")</formula>
    </cfRule>
    <cfRule type="expression" dxfId="513" priority="322" stopIfTrue="1">
      <formula>$J104=""</formula>
    </cfRule>
  </conditionalFormatting>
  <conditionalFormatting sqref="R104">
    <cfRule type="expression" dxfId="512" priority="325" stopIfTrue="1">
      <formula>$J104=$C$2</formula>
    </cfRule>
    <cfRule type="expression" dxfId="511" priority="326" stopIfTrue="1">
      <formula>$J104&lt;&gt;"Serviço"</formula>
    </cfRule>
    <cfRule type="expression" dxfId="510" priority="327" stopIfTrue="1">
      <formula>CELL("proteger",R104)</formula>
    </cfRule>
  </conditionalFormatting>
  <conditionalFormatting sqref="S104:T104 Y104:Z104">
    <cfRule type="expression" dxfId="509" priority="328" stopIfTrue="1">
      <formula>$J104=$C$2</formula>
    </cfRule>
    <cfRule type="expression" dxfId="508" priority="329" stopIfTrue="1">
      <formula>$J104&lt;&gt;"Serviço"</formula>
    </cfRule>
  </conditionalFormatting>
  <conditionalFormatting sqref="J104">
    <cfRule type="expression" dxfId="507" priority="333" stopIfTrue="1">
      <formula>TipoOrçamento="Licitado"</formula>
    </cfRule>
  </conditionalFormatting>
  <conditionalFormatting sqref="P42:P43">
    <cfRule type="expression" dxfId="506" priority="154" stopIfTrue="1">
      <formula>$J42=$C$2</formula>
    </cfRule>
    <cfRule type="expression" dxfId="505" priority="161" stopIfTrue="1">
      <formula>AND($J42&lt;&gt;"Serviço")</formula>
    </cfRule>
    <cfRule type="expression" dxfId="504" priority="162" stopIfTrue="1">
      <formula>CELL("proteger",P42)</formula>
    </cfRule>
  </conditionalFormatting>
  <conditionalFormatting sqref="Q42:Q43">
    <cfRule type="expression" dxfId="503" priority="163" stopIfTrue="1">
      <formula>$J42=$C$2</formula>
    </cfRule>
    <cfRule type="expression" dxfId="502" priority="164" stopIfTrue="1">
      <formula>$J42&lt;&gt;"Serviço"</formula>
    </cfRule>
    <cfRule type="expression" dxfId="501" priority="165" stopIfTrue="1">
      <formula>CELL("proteger",Q42)</formula>
    </cfRule>
  </conditionalFormatting>
  <conditionalFormatting sqref="L42:M43">
    <cfRule type="expression" dxfId="500" priority="166" stopIfTrue="1">
      <formula>$J42=$C$2</formula>
    </cfRule>
    <cfRule type="expression" dxfId="499" priority="167" stopIfTrue="1">
      <formula>$J42&lt;&gt;"Serviço"</formula>
    </cfRule>
    <cfRule type="expression" dxfId="498" priority="168" stopIfTrue="1">
      <formula>OR(CELL("proteger",L42),$J42="",TipoOrçamento="Licitado")</formula>
    </cfRule>
  </conditionalFormatting>
  <conditionalFormatting sqref="O42:O43">
    <cfRule type="expression" dxfId="497" priority="155" stopIfTrue="1">
      <formula>$J42=$C$2</formula>
    </cfRule>
    <cfRule type="expression" dxfId="496" priority="156" stopIfTrue="1">
      <formula>AND($J42&lt;&gt;"Serviço")</formula>
    </cfRule>
    <cfRule type="expression" dxfId="495" priority="157" stopIfTrue="1">
      <formula>CELL("proteger",O42)</formula>
    </cfRule>
  </conditionalFormatting>
  <conditionalFormatting sqref="N42:N43">
    <cfRule type="expression" dxfId="494" priority="158" stopIfTrue="1">
      <formula>$J42=$C$2</formula>
    </cfRule>
    <cfRule type="expression" dxfId="493" priority="159" stopIfTrue="1">
      <formula>$J42&lt;&gt;"Serviço"</formula>
    </cfRule>
    <cfRule type="expression" dxfId="492" priority="160" stopIfTrue="1">
      <formula>CELL("proteger",N42)</formula>
    </cfRule>
  </conditionalFormatting>
  <conditionalFormatting sqref="L41">
    <cfRule type="expression" dxfId="491" priority="151" stopIfTrue="1">
      <formula>$J41=$C$2</formula>
    </cfRule>
    <cfRule type="expression" dxfId="490" priority="152" stopIfTrue="1">
      <formula>$J41&lt;&gt;"Serviço"</formula>
    </cfRule>
    <cfRule type="expression" dxfId="489" priority="153" stopIfTrue="1">
      <formula>OR(CELL("proteger",L41),$J41="",TipoOrçamento="Licitado")</formula>
    </cfRule>
  </conditionalFormatting>
  <conditionalFormatting sqref="O41">
    <cfRule type="expression" dxfId="488" priority="148" stopIfTrue="1">
      <formula>$J41=$C$2</formula>
    </cfRule>
    <cfRule type="expression" dxfId="487" priority="149" stopIfTrue="1">
      <formula>AND($J41&lt;&gt;"Serviço")</formula>
    </cfRule>
    <cfRule type="expression" dxfId="486" priority="150" stopIfTrue="1">
      <formula>CELL("proteger",O41)</formula>
    </cfRule>
  </conditionalFormatting>
  <conditionalFormatting sqref="M41">
    <cfRule type="expression" dxfId="485" priority="145" stopIfTrue="1">
      <formula>$J41=$C$2</formula>
    </cfRule>
    <cfRule type="expression" dxfId="484" priority="146" stopIfTrue="1">
      <formula>$J41&lt;&gt;"Serviço"</formula>
    </cfRule>
    <cfRule type="expression" dxfId="483" priority="147" stopIfTrue="1">
      <formula>OR(CELL("proteger",M41),$J41="",TipoOrçamento="Licitado")</formula>
    </cfRule>
  </conditionalFormatting>
  <conditionalFormatting sqref="N41">
    <cfRule type="expression" dxfId="482" priority="142" stopIfTrue="1">
      <formula>$J41=$C$2</formula>
    </cfRule>
    <cfRule type="expression" dxfId="481" priority="143" stopIfTrue="1">
      <formula>$J41&lt;&gt;"Serviço"</formula>
    </cfRule>
    <cfRule type="expression" dxfId="480" priority="144" stopIfTrue="1">
      <formula>CELL("proteger",N41)</formula>
    </cfRule>
  </conditionalFormatting>
  <conditionalFormatting sqref="P41">
    <cfRule type="expression" dxfId="479" priority="136" stopIfTrue="1">
      <formula>$J41=$C$2</formula>
    </cfRule>
    <cfRule type="expression" dxfId="478" priority="137" stopIfTrue="1">
      <formula>AND($J41&lt;&gt;"Serviço")</formula>
    </cfRule>
    <cfRule type="expression" dxfId="477" priority="138" stopIfTrue="1">
      <formula>CELL("proteger",P41)</formula>
    </cfRule>
  </conditionalFormatting>
  <conditionalFormatting sqref="Q41">
    <cfRule type="expression" dxfId="476" priority="139" stopIfTrue="1">
      <formula>$J41=$C$2</formula>
    </cfRule>
    <cfRule type="expression" dxfId="475" priority="140" stopIfTrue="1">
      <formula>$J41&lt;&gt;"Serviço"</formula>
    </cfRule>
    <cfRule type="expression" dxfId="474" priority="141" stopIfTrue="1">
      <formula>CELL("proteger",Q41)</formula>
    </cfRule>
  </conditionalFormatting>
  <conditionalFormatting sqref="P63:P64">
    <cfRule type="expression" dxfId="473" priority="121" stopIfTrue="1">
      <formula>$J63=$C$2</formula>
    </cfRule>
    <cfRule type="expression" dxfId="472" priority="128" stopIfTrue="1">
      <formula>AND($J63&lt;&gt;"Serviço")</formula>
    </cfRule>
    <cfRule type="expression" dxfId="471" priority="129" stopIfTrue="1">
      <formula>CELL("proteger",P63)</formula>
    </cfRule>
  </conditionalFormatting>
  <conditionalFormatting sqref="Q63:Q64">
    <cfRule type="expression" dxfId="470" priority="130" stopIfTrue="1">
      <formula>$J63=$C$2</formula>
    </cfRule>
    <cfRule type="expression" dxfId="469" priority="131" stopIfTrue="1">
      <formula>$J63&lt;&gt;"Serviço"</formula>
    </cfRule>
    <cfRule type="expression" dxfId="468" priority="132" stopIfTrue="1">
      <formula>CELL("proteger",Q63)</formula>
    </cfRule>
  </conditionalFormatting>
  <conditionalFormatting sqref="L63:M64">
    <cfRule type="expression" dxfId="467" priority="133" stopIfTrue="1">
      <formula>$J63=$C$2</formula>
    </cfRule>
    <cfRule type="expression" dxfId="466" priority="134" stopIfTrue="1">
      <formula>$J63&lt;&gt;"Serviço"</formula>
    </cfRule>
    <cfRule type="expression" dxfId="465" priority="135" stopIfTrue="1">
      <formula>OR(CELL("proteger",L63),$J63="",TipoOrçamento="Licitado")</formula>
    </cfRule>
  </conditionalFormatting>
  <conditionalFormatting sqref="O63:O64">
    <cfRule type="expression" dxfId="464" priority="122" stopIfTrue="1">
      <formula>$J63=$C$2</formula>
    </cfRule>
    <cfRule type="expression" dxfId="463" priority="123" stopIfTrue="1">
      <formula>AND($J63&lt;&gt;"Serviço")</formula>
    </cfRule>
    <cfRule type="expression" dxfId="462" priority="124" stopIfTrue="1">
      <formula>CELL("proteger",O63)</formula>
    </cfRule>
  </conditionalFormatting>
  <conditionalFormatting sqref="N63:N64">
    <cfRule type="expression" dxfId="461" priority="125" stopIfTrue="1">
      <formula>$J63=$C$2</formula>
    </cfRule>
    <cfRule type="expression" dxfId="460" priority="126" stopIfTrue="1">
      <formula>$J63&lt;&gt;"Serviço"</formula>
    </cfRule>
    <cfRule type="expression" dxfId="459" priority="127" stopIfTrue="1">
      <formula>CELL("proteger",N63)</formula>
    </cfRule>
  </conditionalFormatting>
  <conditionalFormatting sqref="L62">
    <cfRule type="expression" dxfId="458" priority="118" stopIfTrue="1">
      <formula>$J62=$C$2</formula>
    </cfRule>
    <cfRule type="expression" dxfId="457" priority="119" stopIfTrue="1">
      <formula>$J62&lt;&gt;"Serviço"</formula>
    </cfRule>
    <cfRule type="expression" dxfId="456" priority="120" stopIfTrue="1">
      <formula>OR(CELL("proteger",L62),$J62="",TipoOrçamento="Licitado")</formula>
    </cfRule>
  </conditionalFormatting>
  <conditionalFormatting sqref="O62">
    <cfRule type="expression" dxfId="455" priority="115" stopIfTrue="1">
      <formula>$J62=$C$2</formula>
    </cfRule>
    <cfRule type="expression" dxfId="454" priority="116" stopIfTrue="1">
      <formula>AND($J62&lt;&gt;"Serviço")</formula>
    </cfRule>
    <cfRule type="expression" dxfId="453" priority="117" stopIfTrue="1">
      <formula>CELL("proteger",O62)</formula>
    </cfRule>
  </conditionalFormatting>
  <conditionalFormatting sqref="M62">
    <cfRule type="expression" dxfId="452" priority="112" stopIfTrue="1">
      <formula>$J62=$C$2</formula>
    </cfRule>
    <cfRule type="expression" dxfId="451" priority="113" stopIfTrue="1">
      <formula>$J62&lt;&gt;"Serviço"</formula>
    </cfRule>
    <cfRule type="expression" dxfId="450" priority="114" stopIfTrue="1">
      <formula>OR(CELL("proteger",M62),$J62="",TipoOrçamento="Licitado")</formula>
    </cfRule>
  </conditionalFormatting>
  <conditionalFormatting sqref="N62">
    <cfRule type="expression" dxfId="449" priority="109" stopIfTrue="1">
      <formula>$J62=$C$2</formula>
    </cfRule>
    <cfRule type="expression" dxfId="448" priority="110" stopIfTrue="1">
      <formula>$J62&lt;&gt;"Serviço"</formula>
    </cfRule>
    <cfRule type="expression" dxfId="447" priority="111" stopIfTrue="1">
      <formula>CELL("proteger",N62)</formula>
    </cfRule>
  </conditionalFormatting>
  <conditionalFormatting sqref="P62">
    <cfRule type="expression" dxfId="446" priority="103" stopIfTrue="1">
      <formula>$J62=$C$2</formula>
    </cfRule>
    <cfRule type="expression" dxfId="445" priority="104" stopIfTrue="1">
      <formula>AND($J62&lt;&gt;"Serviço")</formula>
    </cfRule>
    <cfRule type="expression" dxfId="444" priority="105" stopIfTrue="1">
      <formula>CELL("proteger",P62)</formula>
    </cfRule>
  </conditionalFormatting>
  <conditionalFormatting sqref="Q62">
    <cfRule type="expression" dxfId="443" priority="106" stopIfTrue="1">
      <formula>$J62=$C$2</formula>
    </cfRule>
    <cfRule type="expression" dxfId="442" priority="107" stopIfTrue="1">
      <formula>$J62&lt;&gt;"Serviço"</formula>
    </cfRule>
    <cfRule type="expression" dxfId="441" priority="108" stopIfTrue="1">
      <formula>CELL("proteger",Q62)</formula>
    </cfRule>
  </conditionalFormatting>
  <conditionalFormatting sqref="P84:P85">
    <cfRule type="expression" dxfId="440" priority="88" stopIfTrue="1">
      <formula>$J84=$C$2</formula>
    </cfRule>
    <cfRule type="expression" dxfId="439" priority="95" stopIfTrue="1">
      <formula>AND($J84&lt;&gt;"Serviço")</formula>
    </cfRule>
    <cfRule type="expression" dxfId="438" priority="96" stopIfTrue="1">
      <formula>CELL("proteger",P84)</formula>
    </cfRule>
  </conditionalFormatting>
  <conditionalFormatting sqref="Q84:Q85">
    <cfRule type="expression" dxfId="437" priority="97" stopIfTrue="1">
      <formula>$J84=$C$2</formula>
    </cfRule>
    <cfRule type="expression" dxfId="436" priority="98" stopIfTrue="1">
      <formula>$J84&lt;&gt;"Serviço"</formula>
    </cfRule>
    <cfRule type="expression" dxfId="435" priority="99" stopIfTrue="1">
      <formula>CELL("proteger",Q84)</formula>
    </cfRule>
  </conditionalFormatting>
  <conditionalFormatting sqref="L84:M85">
    <cfRule type="expression" dxfId="434" priority="100" stopIfTrue="1">
      <formula>$J84=$C$2</formula>
    </cfRule>
    <cfRule type="expression" dxfId="433" priority="101" stopIfTrue="1">
      <formula>$J84&lt;&gt;"Serviço"</formula>
    </cfRule>
    <cfRule type="expression" dxfId="432" priority="102" stopIfTrue="1">
      <formula>OR(CELL("proteger",L84),$J84="",TipoOrçamento="Licitado")</formula>
    </cfRule>
  </conditionalFormatting>
  <conditionalFormatting sqref="O84:O85">
    <cfRule type="expression" dxfId="431" priority="89" stopIfTrue="1">
      <formula>$J84=$C$2</formula>
    </cfRule>
    <cfRule type="expression" dxfId="430" priority="90" stopIfTrue="1">
      <formula>AND($J84&lt;&gt;"Serviço")</formula>
    </cfRule>
    <cfRule type="expression" dxfId="429" priority="91" stopIfTrue="1">
      <formula>CELL("proteger",O84)</formula>
    </cfRule>
  </conditionalFormatting>
  <conditionalFormatting sqref="N84:N85">
    <cfRule type="expression" dxfId="428" priority="92" stopIfTrue="1">
      <formula>$J84=$C$2</formula>
    </cfRule>
    <cfRule type="expression" dxfId="427" priority="93" stopIfTrue="1">
      <formula>$J84&lt;&gt;"Serviço"</formula>
    </cfRule>
    <cfRule type="expression" dxfId="426" priority="94" stopIfTrue="1">
      <formula>CELL("proteger",N84)</formula>
    </cfRule>
  </conditionalFormatting>
  <conditionalFormatting sqref="L83">
    <cfRule type="expression" dxfId="425" priority="85" stopIfTrue="1">
      <formula>$J83=$C$2</formula>
    </cfRule>
    <cfRule type="expression" dxfId="424" priority="86" stopIfTrue="1">
      <formula>$J83&lt;&gt;"Serviço"</formula>
    </cfRule>
    <cfRule type="expression" dxfId="423" priority="87" stopIfTrue="1">
      <formula>OR(CELL("proteger",L83),$J83="",TipoOrçamento="Licitado")</formula>
    </cfRule>
  </conditionalFormatting>
  <conditionalFormatting sqref="O83">
    <cfRule type="expression" dxfId="422" priority="82" stopIfTrue="1">
      <formula>$J83=$C$2</formula>
    </cfRule>
    <cfRule type="expression" dxfId="421" priority="83" stopIfTrue="1">
      <formula>AND($J83&lt;&gt;"Serviço")</formula>
    </cfRule>
    <cfRule type="expression" dxfId="420" priority="84" stopIfTrue="1">
      <formula>CELL("proteger",O83)</formula>
    </cfRule>
  </conditionalFormatting>
  <conditionalFormatting sqref="M83">
    <cfRule type="expression" dxfId="419" priority="79" stopIfTrue="1">
      <formula>$J83=$C$2</formula>
    </cfRule>
    <cfRule type="expression" dxfId="418" priority="80" stopIfTrue="1">
      <formula>$J83&lt;&gt;"Serviço"</formula>
    </cfRule>
    <cfRule type="expression" dxfId="417" priority="81" stopIfTrue="1">
      <formula>OR(CELL("proteger",M83),$J83="",TipoOrçamento="Licitado")</formula>
    </cfRule>
  </conditionalFormatting>
  <conditionalFormatting sqref="N83">
    <cfRule type="expression" dxfId="416" priority="76" stopIfTrue="1">
      <formula>$J83=$C$2</formula>
    </cfRule>
    <cfRule type="expression" dxfId="415" priority="77" stopIfTrue="1">
      <formula>$J83&lt;&gt;"Serviço"</formula>
    </cfRule>
    <cfRule type="expression" dxfId="414" priority="78" stopIfTrue="1">
      <formula>CELL("proteger",N83)</formula>
    </cfRule>
  </conditionalFormatting>
  <conditionalFormatting sqref="P83">
    <cfRule type="expression" dxfId="413" priority="70" stopIfTrue="1">
      <formula>$J83=$C$2</formula>
    </cfRule>
    <cfRule type="expression" dxfId="412" priority="71" stopIfTrue="1">
      <formula>AND($J83&lt;&gt;"Serviço")</formula>
    </cfRule>
    <cfRule type="expression" dxfId="411" priority="72" stopIfTrue="1">
      <formula>CELL("proteger",P83)</formula>
    </cfRule>
  </conditionalFormatting>
  <conditionalFormatting sqref="Q83">
    <cfRule type="expression" dxfId="410" priority="73" stopIfTrue="1">
      <formula>$J83=$C$2</formula>
    </cfRule>
    <cfRule type="expression" dxfId="409" priority="74" stopIfTrue="1">
      <formula>$J83&lt;&gt;"Serviço"</formula>
    </cfRule>
    <cfRule type="expression" dxfId="408" priority="75" stopIfTrue="1">
      <formula>CELL("proteger",Q83)</formula>
    </cfRule>
  </conditionalFormatting>
  <conditionalFormatting sqref="P105:P106">
    <cfRule type="expression" dxfId="407" priority="55" stopIfTrue="1">
      <formula>$J105=$C$2</formula>
    </cfRule>
    <cfRule type="expression" dxfId="406" priority="62" stopIfTrue="1">
      <formula>AND($J105&lt;&gt;"Serviço")</formula>
    </cfRule>
    <cfRule type="expression" dxfId="405" priority="63" stopIfTrue="1">
      <formula>CELL("proteger",P105)</formula>
    </cfRule>
  </conditionalFormatting>
  <conditionalFormatting sqref="Q105:Q106">
    <cfRule type="expression" dxfId="404" priority="64" stopIfTrue="1">
      <formula>$J105=$C$2</formula>
    </cfRule>
    <cfRule type="expression" dxfId="403" priority="65" stopIfTrue="1">
      <formula>$J105&lt;&gt;"Serviço"</formula>
    </cfRule>
    <cfRule type="expression" dxfId="402" priority="66" stopIfTrue="1">
      <formula>CELL("proteger",Q105)</formula>
    </cfRule>
  </conditionalFormatting>
  <conditionalFormatting sqref="L105:M106">
    <cfRule type="expression" dxfId="401" priority="67" stopIfTrue="1">
      <formula>$J105=$C$2</formula>
    </cfRule>
    <cfRule type="expression" dxfId="400" priority="68" stopIfTrue="1">
      <formula>$J105&lt;&gt;"Serviço"</formula>
    </cfRule>
    <cfRule type="expression" dxfId="399" priority="69" stopIfTrue="1">
      <formula>OR(CELL("proteger",L105),$J105="",TipoOrçamento="Licitado")</formula>
    </cfRule>
  </conditionalFormatting>
  <conditionalFormatting sqref="O105:O106">
    <cfRule type="expression" dxfId="398" priority="56" stopIfTrue="1">
      <formula>$J105=$C$2</formula>
    </cfRule>
    <cfRule type="expression" dxfId="397" priority="57" stopIfTrue="1">
      <formula>AND($J105&lt;&gt;"Serviço")</formula>
    </cfRule>
    <cfRule type="expression" dxfId="396" priority="58" stopIfTrue="1">
      <formula>CELL("proteger",O105)</formula>
    </cfRule>
  </conditionalFormatting>
  <conditionalFormatting sqref="N105:N106">
    <cfRule type="expression" dxfId="395" priority="59" stopIfTrue="1">
      <formula>$J105=$C$2</formula>
    </cfRule>
    <cfRule type="expression" dxfId="394" priority="60" stopIfTrue="1">
      <formula>$J105&lt;&gt;"Serviço"</formula>
    </cfRule>
    <cfRule type="expression" dxfId="393" priority="61" stopIfTrue="1">
      <formula>CELL("proteger",N105)</formula>
    </cfRule>
  </conditionalFormatting>
  <conditionalFormatting sqref="L104">
    <cfRule type="expression" dxfId="392" priority="52" stopIfTrue="1">
      <formula>$J104=$C$2</formula>
    </cfRule>
    <cfRule type="expression" dxfId="391" priority="53" stopIfTrue="1">
      <formula>$J104&lt;&gt;"Serviço"</formula>
    </cfRule>
    <cfRule type="expression" dxfId="390" priority="54" stopIfTrue="1">
      <formula>OR(CELL("proteger",L104),$J104="",TipoOrçamento="Licitado")</formula>
    </cfRule>
  </conditionalFormatting>
  <conditionalFormatting sqref="O104">
    <cfRule type="expression" dxfId="389" priority="49" stopIfTrue="1">
      <formula>$J104=$C$2</formula>
    </cfRule>
    <cfRule type="expression" dxfId="388" priority="50" stopIfTrue="1">
      <formula>AND($J104&lt;&gt;"Serviço")</formula>
    </cfRule>
    <cfRule type="expression" dxfId="387" priority="51" stopIfTrue="1">
      <formula>CELL("proteger",O104)</formula>
    </cfRule>
  </conditionalFormatting>
  <conditionalFormatting sqref="M104">
    <cfRule type="expression" dxfId="386" priority="46" stopIfTrue="1">
      <formula>$J104=$C$2</formula>
    </cfRule>
    <cfRule type="expression" dxfId="385" priority="47" stopIfTrue="1">
      <formula>$J104&lt;&gt;"Serviço"</formula>
    </cfRule>
    <cfRule type="expression" dxfId="384" priority="48" stopIfTrue="1">
      <formula>OR(CELL("proteger",M104),$J104="",TipoOrçamento="Licitado")</formula>
    </cfRule>
  </conditionalFormatting>
  <conditionalFormatting sqref="N104">
    <cfRule type="expression" dxfId="383" priority="43" stopIfTrue="1">
      <formula>$J104=$C$2</formula>
    </cfRule>
    <cfRule type="expression" dxfId="382" priority="44" stopIfTrue="1">
      <formula>$J104&lt;&gt;"Serviço"</formula>
    </cfRule>
    <cfRule type="expression" dxfId="381" priority="45" stopIfTrue="1">
      <formula>CELL("proteger",N104)</formula>
    </cfRule>
  </conditionalFormatting>
  <conditionalFormatting sqref="P104">
    <cfRule type="expression" dxfId="380" priority="37" stopIfTrue="1">
      <formula>$J104=$C$2</formula>
    </cfRule>
    <cfRule type="expression" dxfId="379" priority="38" stopIfTrue="1">
      <formula>AND($J104&lt;&gt;"Serviço")</formula>
    </cfRule>
    <cfRule type="expression" dxfId="378" priority="39" stopIfTrue="1">
      <formula>CELL("proteger",P104)</formula>
    </cfRule>
  </conditionalFormatting>
  <conditionalFormatting sqref="Q104">
    <cfRule type="expression" dxfId="377" priority="40" stopIfTrue="1">
      <formula>$J104=$C$2</formula>
    </cfRule>
    <cfRule type="expression" dxfId="376" priority="41" stopIfTrue="1">
      <formula>$J104&lt;&gt;"Serviço"</formula>
    </cfRule>
    <cfRule type="expression" dxfId="375" priority="42" stopIfTrue="1">
      <formula>CELL("proteger",Q104)</formula>
    </cfRule>
  </conditionalFormatting>
  <conditionalFormatting sqref="P48">
    <cfRule type="expression" dxfId="374" priority="28" stopIfTrue="1">
      <formula>$J48=$C$2</formula>
    </cfRule>
    <cfRule type="expression" dxfId="373" priority="35" stopIfTrue="1">
      <formula>AND($J48&lt;&gt;"Serviço")</formula>
    </cfRule>
    <cfRule type="expression" dxfId="372" priority="36" stopIfTrue="1">
      <formula>CELL("proteger",P48)</formula>
    </cfRule>
  </conditionalFormatting>
  <conditionalFormatting sqref="O48">
    <cfRule type="expression" dxfId="371" priority="29" stopIfTrue="1">
      <formula>$J48=$C$2</formula>
    </cfRule>
    <cfRule type="expression" dxfId="370" priority="30" stopIfTrue="1">
      <formula>AND($J48&lt;&gt;"Serviço")</formula>
    </cfRule>
    <cfRule type="expression" dxfId="369" priority="31" stopIfTrue="1">
      <formula>CELL("proteger",O48)</formula>
    </cfRule>
  </conditionalFormatting>
  <conditionalFormatting sqref="N48">
    <cfRule type="expression" dxfId="368" priority="32" stopIfTrue="1">
      <formula>$J48=$C$2</formula>
    </cfRule>
    <cfRule type="expression" dxfId="367" priority="33" stopIfTrue="1">
      <formula>$J48&lt;&gt;"Serviço"</formula>
    </cfRule>
    <cfRule type="expression" dxfId="366" priority="34" stopIfTrue="1">
      <formula>CELL("proteger",N48)</formula>
    </cfRule>
  </conditionalFormatting>
  <conditionalFormatting sqref="P69">
    <cfRule type="expression" dxfId="365" priority="19" stopIfTrue="1">
      <formula>$J69=$C$2</formula>
    </cfRule>
    <cfRule type="expression" dxfId="364" priority="26" stopIfTrue="1">
      <formula>AND($J69&lt;&gt;"Serviço")</formula>
    </cfRule>
    <cfRule type="expression" dxfId="363" priority="27" stopIfTrue="1">
      <formula>CELL("proteger",P69)</formula>
    </cfRule>
  </conditionalFormatting>
  <conditionalFormatting sqref="O69">
    <cfRule type="expression" dxfId="362" priority="20" stopIfTrue="1">
      <formula>$J69=$C$2</formula>
    </cfRule>
    <cfRule type="expression" dxfId="361" priority="21" stopIfTrue="1">
      <formula>AND($J69&lt;&gt;"Serviço")</formula>
    </cfRule>
    <cfRule type="expression" dxfId="360" priority="22" stopIfTrue="1">
      <formula>CELL("proteger",O69)</formula>
    </cfRule>
  </conditionalFormatting>
  <conditionalFormatting sqref="N69">
    <cfRule type="expression" dxfId="359" priority="23" stopIfTrue="1">
      <formula>$J69=$C$2</formula>
    </cfRule>
    <cfRule type="expression" dxfId="358" priority="24" stopIfTrue="1">
      <formula>$J69&lt;&gt;"Serviço"</formula>
    </cfRule>
    <cfRule type="expression" dxfId="357" priority="25" stopIfTrue="1">
      <formula>CELL("proteger",N69)</formula>
    </cfRule>
  </conditionalFormatting>
  <conditionalFormatting sqref="P90">
    <cfRule type="expression" dxfId="356" priority="10" stopIfTrue="1">
      <formula>$J90=$C$2</formula>
    </cfRule>
    <cfRule type="expression" dxfId="355" priority="17" stopIfTrue="1">
      <formula>AND($J90&lt;&gt;"Serviço")</formula>
    </cfRule>
    <cfRule type="expression" dxfId="354" priority="18" stopIfTrue="1">
      <formula>CELL("proteger",P90)</formula>
    </cfRule>
  </conditionalFormatting>
  <conditionalFormatting sqref="O90">
    <cfRule type="expression" dxfId="353" priority="11" stopIfTrue="1">
      <formula>$J90=$C$2</formula>
    </cfRule>
    <cfRule type="expression" dxfId="352" priority="12" stopIfTrue="1">
      <formula>AND($J90&lt;&gt;"Serviço")</formula>
    </cfRule>
    <cfRule type="expression" dxfId="351" priority="13" stopIfTrue="1">
      <formula>CELL("proteger",O90)</formula>
    </cfRule>
  </conditionalFormatting>
  <conditionalFormatting sqref="N90">
    <cfRule type="expression" dxfId="350" priority="14" stopIfTrue="1">
      <formula>$J90=$C$2</formula>
    </cfRule>
    <cfRule type="expression" dxfId="349" priority="15" stopIfTrue="1">
      <formula>$J90&lt;&gt;"Serviço"</formula>
    </cfRule>
    <cfRule type="expression" dxfId="348" priority="16" stopIfTrue="1">
      <formula>CELL("proteger",N90)</formula>
    </cfRule>
  </conditionalFormatting>
  <conditionalFormatting sqref="P111">
    <cfRule type="expression" dxfId="347" priority="1" stopIfTrue="1">
      <formula>$J111=$C$2</formula>
    </cfRule>
    <cfRule type="expression" dxfId="346" priority="8" stopIfTrue="1">
      <formula>AND($J111&lt;&gt;"Serviço")</formula>
    </cfRule>
    <cfRule type="expression" dxfId="345" priority="9" stopIfTrue="1">
      <formula>CELL("proteger",P111)</formula>
    </cfRule>
  </conditionalFormatting>
  <conditionalFormatting sqref="O111">
    <cfRule type="expression" dxfId="344" priority="2" stopIfTrue="1">
      <formula>$J111=$C$2</formula>
    </cfRule>
    <cfRule type="expression" dxfId="343" priority="3" stopIfTrue="1">
      <formula>AND($J111&lt;&gt;"Serviço")</formula>
    </cfRule>
    <cfRule type="expression" dxfId="342" priority="4" stopIfTrue="1">
      <formula>CELL("proteger",O111)</formula>
    </cfRule>
  </conditionalFormatting>
  <conditionalFormatting sqref="N111">
    <cfRule type="expression" dxfId="341" priority="5" stopIfTrue="1">
      <formula>$J111=$C$2</formula>
    </cfRule>
    <cfRule type="expression" dxfId="340" priority="6" stopIfTrue="1">
      <formula>$J111&lt;&gt;"Serviço"</formula>
    </cfRule>
    <cfRule type="expression" dxfId="339" priority="7" stopIfTrue="1">
      <formula>CELL("proteger",N111)</formula>
    </cfRule>
  </conditionalFormatting>
  <dataValidations disablePrompts="1" count="3">
    <dataValidation type="decimal" operator="greaterThan" allowBlank="1" showInputMessage="1" showErrorMessage="1" error="Apenas números decimais maiores que zero." sqref="Q11 Q13:Q120">
      <formula1>0</formula1>
    </dataValidation>
    <dataValidation type="list" errorStyle="warning" allowBlank="1" showInputMessage="1" showErrorMessage="1" error="Selecione um dos 5 BDI da lista._x000a__x000a_Caso tenha mais de 5 BDI nesta Planilha Orçamentária digite apenas valor percentual." sqref="R11 R13:R120">
      <formula1>Dados.Lista.BDI</formula1>
    </dataValidation>
    <dataValidation type="list" showInputMessage="1" showErrorMessage="1" errorTitle="Erro de Entrada" error="Selecione somente os itens da lista." promptTitle="Nível:" prompt="Selecione na lista o nível de itemização da Planilha." sqref="J11 J14:J120">
      <formula1>$C$2:$G$2</formula1>
    </dataValidation>
  </dataValidations>
  <pageMargins left="0.78740157480314965" right="0.78740157480314965" top="0.78740157480314965" bottom="0.78740157480314965" header="0.59055118110236227" footer="0.59055118110236227"/>
  <pageSetup paperSize="9" scale="62" fitToHeight="0" orientation="landscape" r:id="rId1"/>
  <headerFooter alignWithMargins="0">
    <oddHeader>&amp;C&amp;14I</oddHeader>
    <oddFooter>&amp;R&amp;P&amp;L27.476 v008   micro</oddFooter>
  </headerFooter>
  <ignoredErrors>
    <ignoredError sqref="K132 K135"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127"/>
  <sheetViews>
    <sheetView showGridLines="0" zoomScale="70" zoomScaleNormal="70" workbookViewId="0">
      <selection activeCell="K104" sqref="K104"/>
    </sheetView>
  </sheetViews>
  <sheetFormatPr defaultRowHeight="13.2" x14ac:dyDescent="0.25"/>
  <cols>
    <col min="1" max="1" width="12.6640625" customWidth="1"/>
    <col min="2" max="2" width="10.6640625" customWidth="1"/>
    <col min="3" max="3" width="60.5546875" customWidth="1"/>
    <col min="4" max="4" width="7.6640625" customWidth="1"/>
    <col min="5" max="5" width="12.6640625" customWidth="1"/>
    <col min="6" max="15" width="11.6640625" customWidth="1"/>
    <col min="16" max="16" width="0.88671875" customWidth="1"/>
    <col min="21" max="21" width="11.6640625" hidden="1" customWidth="1"/>
  </cols>
  <sheetData>
    <row r="1" spans="1:21" s="1" customFormat="1" ht="17.25" customHeight="1" x14ac:dyDescent="0.3">
      <c r="E1" s="71" t="s">
        <v>63</v>
      </c>
      <c r="F1" s="28" t="s">
        <v>64</v>
      </c>
      <c r="K1" s="14"/>
      <c r="O1"/>
    </row>
    <row r="2" spans="1:21" s="1" customFormat="1" ht="15.6" x14ac:dyDescent="0.3">
      <c r="D2" s="3"/>
      <c r="E2" s="71"/>
      <c r="F2" s="28"/>
      <c r="K2" s="15"/>
      <c r="O2"/>
    </row>
    <row r="3" spans="1:21" s="1" customFormat="1" x14ac:dyDescent="0.25"/>
    <row r="4" spans="1:21" s="1" customFormat="1" ht="39.9" customHeight="1" x14ac:dyDescent="0.25"/>
    <row r="5" spans="1:21" s="1" customFormat="1" ht="39.9" customHeight="1" x14ac:dyDescent="0.25"/>
    <row r="6" spans="1:21" s="1" customFormat="1" ht="20.25" customHeight="1" x14ac:dyDescent="0.25"/>
    <row r="7" spans="1:21" s="1" customFormat="1" ht="12.75" hidden="1" customHeight="1" x14ac:dyDescent="0.25">
      <c r="E7" s="191">
        <f ca="1">OFFSET(PO!$P$12,ROW($E7)-ROW(E$12),0)</f>
        <v>0</v>
      </c>
    </row>
    <row r="8" spans="1:21" s="1" customFormat="1" ht="9.9" customHeight="1" x14ac:dyDescent="0.25"/>
    <row r="9" spans="1:21" s="1" customFormat="1" ht="60" customHeight="1" x14ac:dyDescent="0.25">
      <c r="B9" s="13"/>
      <c r="C9" s="10"/>
      <c r="D9" s="4"/>
      <c r="E9" s="124" t="s">
        <v>46</v>
      </c>
      <c r="F9" s="361" t="s">
        <v>235</v>
      </c>
      <c r="G9" s="361"/>
      <c r="H9" s="361"/>
      <c r="I9" s="361"/>
      <c r="J9" s="361"/>
      <c r="K9" s="361"/>
      <c r="L9" s="361"/>
      <c r="M9" s="361"/>
      <c r="N9" s="361"/>
      <c r="O9" s="361"/>
      <c r="U9" s="104"/>
    </row>
    <row r="10" spans="1:21" s="11" customFormat="1" ht="30" customHeight="1" x14ac:dyDescent="0.25">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5">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5">
      <c r="A12" s="64" t="str">
        <f>PO!J12</f>
        <v>CTEF</v>
      </c>
      <c r="B12" s="64"/>
      <c r="C12" s="64">
        <f>PO!N12</f>
        <v>0</v>
      </c>
      <c r="D12" s="64"/>
      <c r="E12" s="183"/>
      <c r="F12" s="184"/>
      <c r="G12" s="184"/>
      <c r="H12" s="184"/>
      <c r="I12" s="184"/>
      <c r="J12" s="184"/>
      <c r="K12" s="184"/>
      <c r="L12" s="184"/>
      <c r="M12" s="184"/>
      <c r="N12" s="184"/>
      <c r="O12" s="184"/>
      <c r="U12" s="184"/>
    </row>
    <row r="13" spans="1:21" s="1" customFormat="1" x14ac:dyDescent="0.25">
      <c r="A13" s="108" t="str">
        <f ca="1">OFFSET(PO!J$12,ROW(A13)-ROW($A$12),0)</f>
        <v>Meta</v>
      </c>
      <c r="B13" s="112" t="str">
        <f ca="1">IF($A13=0,"",OFFSET(PO!K$12,ROW(B13)-ROW(B$12),0))</f>
        <v>1.</v>
      </c>
      <c r="C13" s="109" t="str">
        <f ca="1">IF(OFFSET(PO!N$12,ROW(C13)-ROW(C$12),0)=0,"",OFFSET(PO!N$12,ROW(C13)-ROW(C$12),0))</f>
        <v>SERVIÇOS INICIAIS</v>
      </c>
      <c r="D13" s="111" t="str">
        <f ca="1">IF(OFFSET(PO!O$12,ROW(D13)-ROW(D$12),0)=0,"",OFFSET(PO!O$12,ROW(D13)-ROW(D$12),0))</f>
        <v/>
      </c>
      <c r="E13" s="140">
        <f ca="1">IF($A13&lt;&gt;"Serviço",0,ROUND(SUMIF($F$9:$P$9,"&lt;&gt;",$F13:$P13),15-13*PO!$X$3))</f>
        <v>0</v>
      </c>
      <c r="F13" s="360">
        <f ca="1">OFFSET(PO!$P$12,ROW($E13)-ROW(F$12),0)</f>
        <v>0</v>
      </c>
      <c r="G13" s="360"/>
      <c r="H13" s="360"/>
      <c r="I13" s="360"/>
      <c r="J13" s="360"/>
      <c r="K13" s="360"/>
      <c r="L13" s="360"/>
      <c r="M13" s="360"/>
      <c r="N13" s="360"/>
      <c r="O13" s="360"/>
      <c r="U13" s="182"/>
    </row>
    <row r="14" spans="1:21" s="1" customFormat="1" ht="26.4" x14ac:dyDescent="0.25">
      <c r="A14" s="110" t="str">
        <f ca="1">OFFSET(PO!J$12,ROW(A14)-ROW($A$12),0)</f>
        <v>Serviço</v>
      </c>
      <c r="B14" s="112" t="str">
        <f ca="1">IF($A14=0,"",OFFSET(PO!K$12,ROW(B14)-ROW(B$12),0))</f>
        <v>1.0.0.1.</v>
      </c>
      <c r="C14" s="109" t="str">
        <f ca="1">IF(OFFSET(PO!N$12,ROW(C14)-ROW(C$12),0)=0,"",OFFSET(PO!N$12,ROW(C14)-ROW(C$12),0))</f>
        <v>FORNECIMENTO E INSTALAÇÃO DE PLACA DE OBRA COM CHAPA GALVANIZADA E ESTRUTURA DE MADEIRA. AF_03/2022_PS</v>
      </c>
      <c r="D14" s="111" t="str">
        <f ca="1">IF(OFFSET(PO!O$12,ROW(D14)-ROW(D$12),0)=0,"",OFFSET(PO!O$12,ROW(D14)-ROW(D$12),0))</f>
        <v>M2</v>
      </c>
      <c r="E14" s="140">
        <f ca="1">IF($A14&lt;&gt;"Serviço",0,ROUND(SUMIF($F$9:$P$9,"&lt;&gt;",$F14:$P14),15-13*PO!$X$3))</f>
        <v>4.5</v>
      </c>
      <c r="F14" s="360">
        <f ca="1">OFFSET(PO!$P$12,ROW($E14)-ROW(F$12),0)</f>
        <v>4.5</v>
      </c>
      <c r="G14" s="360"/>
      <c r="H14" s="360"/>
      <c r="I14" s="360"/>
      <c r="J14" s="360"/>
      <c r="K14" s="360"/>
      <c r="L14" s="360"/>
      <c r="M14" s="360"/>
      <c r="N14" s="360"/>
      <c r="O14" s="360"/>
      <c r="U14" s="182"/>
    </row>
    <row r="15" spans="1:21" s="1" customFormat="1" ht="26.4" x14ac:dyDescent="0.25">
      <c r="A15" s="110" t="str">
        <f ca="1">OFFSET(PO!J$12,ROW(A15)-ROW($A$12),0)</f>
        <v>Serviço</v>
      </c>
      <c r="B15" s="112" t="str">
        <f ca="1">IF($A15=0,"",OFFSET(PO!K$12,ROW(B15)-ROW(B$12),0))</f>
        <v>1.0.0.2.</v>
      </c>
      <c r="C15" s="109" t="str">
        <f ca="1">IF(OFFSET(PO!N$12,ROW(C15)-ROW(C$12),0)=0,"",OFFSET(PO!N$12,ROW(C15)-ROW(C$12),0))</f>
        <v>ENGENHEIRO CIVIL DE OBRA PLENO COM ENCARGOS COMPLEMENTARES</v>
      </c>
      <c r="D15" s="111" t="str">
        <f ca="1">IF(OFFSET(PO!O$12,ROW(D15)-ROW(D$12),0)=0,"",OFFSET(PO!O$12,ROW(D15)-ROW(D$12),0))</f>
        <v>H</v>
      </c>
      <c r="E15" s="140">
        <f ca="1">IF($A15&lt;&gt;"Serviço",0,ROUND(SUMIF($F$9:$P$9,"&lt;&gt;",$F15:$P15),15-13*PO!$X$3))</f>
        <v>80</v>
      </c>
      <c r="F15" s="360">
        <f ca="1">OFFSET(PO!$P$12,ROW($E15)-ROW(F$12),0)</f>
        <v>80</v>
      </c>
      <c r="G15" s="360"/>
      <c r="H15" s="360"/>
      <c r="I15" s="360"/>
      <c r="J15" s="360"/>
      <c r="K15" s="360"/>
      <c r="L15" s="360"/>
      <c r="M15" s="360"/>
      <c r="N15" s="360"/>
      <c r="O15" s="360"/>
      <c r="U15" s="182"/>
    </row>
    <row r="16" spans="1:21" s="1" customFormat="1" x14ac:dyDescent="0.25">
      <c r="A16" s="110" t="str">
        <f ca="1">OFFSET(PO!J$12,ROW(A16)-ROW($A$12),0)</f>
        <v>Serviço</v>
      </c>
      <c r="B16" s="112" t="str">
        <f ca="1">IF($A16=0,"",OFFSET(PO!K$12,ROW(B16)-ROW(B$12),0))</f>
        <v>1.0.0.3.</v>
      </c>
      <c r="C16" s="109" t="str">
        <f ca="1">IF(OFFSET(PO!N$12,ROW(C16)-ROW(C$12),0)=0,"",OFFSET(PO!N$12,ROW(C16)-ROW(C$12),0))</f>
        <v>MOBILIZAÇÃO E DESMOBILIZAÇÃO</v>
      </c>
      <c r="D16" s="111" t="str">
        <f ca="1">IF(OFFSET(PO!O$12,ROW(D16)-ROW(D$12),0)=0,"",OFFSET(PO!O$12,ROW(D16)-ROW(D$12),0))</f>
        <v>UN</v>
      </c>
      <c r="E16" s="140">
        <f ca="1">IF($A16&lt;&gt;"Serviço",0,ROUND(SUMIF($F$9:$P$9,"&lt;&gt;",$F16:$P16),15-13*PO!$X$3))</f>
        <v>1</v>
      </c>
      <c r="F16" s="360">
        <f ca="1">OFFSET(PO!$P$12,ROW($E16)-ROW(F$12),0)</f>
        <v>1</v>
      </c>
      <c r="G16" s="360"/>
      <c r="H16" s="360"/>
      <c r="I16" s="360"/>
      <c r="J16" s="360"/>
      <c r="K16" s="360"/>
      <c r="L16" s="360"/>
      <c r="M16" s="360"/>
      <c r="N16" s="360"/>
      <c r="O16" s="360"/>
      <c r="U16" s="182"/>
    </row>
    <row r="17" spans="1:21" s="1" customFormat="1" x14ac:dyDescent="0.25">
      <c r="A17" s="110" t="str">
        <f ca="1">OFFSET(PO!J$12,ROW(A17)-ROW($A$12),0)</f>
        <v>Meta</v>
      </c>
      <c r="B17" s="112" t="str">
        <f ca="1">IF($A17=0,"",OFFSET(PO!K$12,ROW(B17)-ROW(B$12),0))</f>
        <v>2.</v>
      </c>
      <c r="C17" s="109" t="str">
        <f ca="1">IF(OFFSET(PO!N$12,ROW(C17)-ROW(C$12),0)=0,"",OFFSET(PO!N$12,ROW(C17)-ROW(C$12),0))</f>
        <v>TRECHO 1</v>
      </c>
      <c r="D17" s="111" t="str">
        <f ca="1">IF(OFFSET(PO!O$12,ROW(D17)-ROW(D$12),0)=0,"",OFFSET(PO!O$12,ROW(D17)-ROW(D$12),0))</f>
        <v/>
      </c>
      <c r="E17" s="140">
        <f ca="1">IF($A17&lt;&gt;"Serviço",0,ROUND(SUMIF($F$9:$P$9,"&lt;&gt;",$F17:$P17),15-13*PO!$X$3))</f>
        <v>0</v>
      </c>
      <c r="F17" s="360">
        <f ca="1">OFFSET(PO!$P$12,ROW($E17)-ROW(F$12),0)</f>
        <v>0</v>
      </c>
      <c r="G17" s="360"/>
      <c r="H17" s="360"/>
      <c r="I17" s="360"/>
      <c r="J17" s="360"/>
      <c r="K17" s="360"/>
      <c r="L17" s="360"/>
      <c r="M17" s="360"/>
      <c r="N17" s="360"/>
      <c r="O17" s="360"/>
      <c r="U17" s="182"/>
    </row>
    <row r="18" spans="1:21" s="1" customFormat="1" x14ac:dyDescent="0.25">
      <c r="A18" s="110" t="str">
        <f ca="1">OFFSET(PO!J$12,ROW(A18)-ROW($A$12),0)</f>
        <v>Nível 2</v>
      </c>
      <c r="B18" s="112" t="str">
        <f ca="1">IF($A18=0,"",OFFSET(PO!K$12,ROW(B18)-ROW(B$12),0))</f>
        <v>2.1.</v>
      </c>
      <c r="C18" s="109" t="str">
        <f ca="1">IF(OFFSET(PO!N$12,ROW(C18)-ROW(C$12),0)=0,"",OFFSET(PO!N$12,ROW(C18)-ROW(C$12),0))</f>
        <v>MOVIMENTAÇÃO DE TERRA E EXECUÇÃO DA BASE</v>
      </c>
      <c r="D18" s="111" t="str">
        <f ca="1">IF(OFFSET(PO!O$12,ROW(D18)-ROW(D$12),0)=0,"",OFFSET(PO!O$12,ROW(D18)-ROW(D$12),0))</f>
        <v/>
      </c>
      <c r="E18" s="140">
        <f ca="1">IF($A18&lt;&gt;"Serviço",0,ROUND(SUMIF($F$9:$P$9,"&lt;&gt;",$F18:$P18),15-13*PO!$X$3))</f>
        <v>0</v>
      </c>
      <c r="F18" s="360">
        <f ca="1">OFFSET(PO!$P$12,ROW($E18)-ROW(F$12),0)</f>
        <v>0</v>
      </c>
      <c r="G18" s="360"/>
      <c r="H18" s="360"/>
      <c r="I18" s="360"/>
      <c r="J18" s="360"/>
      <c r="K18" s="360"/>
      <c r="L18" s="360"/>
      <c r="M18" s="360"/>
      <c r="N18" s="360"/>
      <c r="O18" s="360"/>
      <c r="U18" s="182"/>
    </row>
    <row r="19" spans="1:21" s="1" customFormat="1" x14ac:dyDescent="0.25">
      <c r="A19" s="110" t="str">
        <f ca="1">OFFSET(PO!J$12,ROW(A19)-ROW($A$12),0)</f>
        <v>Serviço</v>
      </c>
      <c r="B19" s="112" t="str">
        <f ca="1">IF($A19=0,"",OFFSET(PO!K$12,ROW(B19)-ROW(B$12),0))</f>
        <v>2.1.0.1.</v>
      </c>
      <c r="C19" s="109" t="str">
        <f ca="1">IF(OFFSET(PO!N$12,ROW(C19)-ROW(C$12),0)=0,"",OFFSET(PO!N$12,ROW(C19)-ROW(C$12),0))</f>
        <v>SINALIZAÇÃO DE TRANSITO NOTURNA</v>
      </c>
      <c r="D19" s="111" t="str">
        <f ca="1">IF(OFFSET(PO!O$12,ROW(D19)-ROW(D$12),0)=0,"",OFFSET(PO!O$12,ROW(D19)-ROW(D$12),0))</f>
        <v xml:space="preserve">M     </v>
      </c>
      <c r="E19" s="140">
        <f ca="1">IF($A19&lt;&gt;"Serviço",0,ROUND(SUMIF($F$9:$P$9,"&lt;&gt;",$F19:$P19),15-13*PO!$X$3))</f>
        <v>75</v>
      </c>
      <c r="F19" s="360">
        <f ca="1">OFFSET(PO!$P$12,ROW($E19)-ROW(F$12),0)</f>
        <v>75</v>
      </c>
      <c r="G19" s="360"/>
      <c r="H19" s="360"/>
      <c r="I19" s="360"/>
      <c r="J19" s="360"/>
      <c r="K19" s="360"/>
      <c r="L19" s="360"/>
      <c r="M19" s="360"/>
      <c r="N19" s="360"/>
      <c r="O19" s="360"/>
      <c r="U19" s="182"/>
    </row>
    <row r="20" spans="1:21" s="1" customFormat="1" ht="39.6" x14ac:dyDescent="0.25">
      <c r="A20" s="110" t="str">
        <f ca="1">OFFSET(PO!J$12,ROW(A20)-ROW($A$12),0)</f>
        <v>Serviço</v>
      </c>
      <c r="B20" s="112" t="str">
        <f ca="1">IF($A20=0,"",OFFSET(PO!K$12,ROW(B20)-ROW(B$12),0))</f>
        <v>2.1.0.2.</v>
      </c>
      <c r="C20" s="109" t="str">
        <f ca="1">IF(OFFSET(PO!N$12,ROW(C20)-ROW(C$12),0)=0,"",OFFSET(PO!N$12,ROW(C20)-ROW(C$12),0))</f>
        <v>Escavação, carga e transporte de material de 1ª categoria - DMT de 1.000 a 1.200 m - caminho de serviço em leito natural - com carregadeira e caminhão basculante de 14 m³</v>
      </c>
      <c r="D20" s="111" t="str">
        <f ca="1">IF(OFFSET(PO!O$12,ROW(D20)-ROW(D$12),0)=0,"",OFFSET(PO!O$12,ROW(D20)-ROW(D$12),0))</f>
        <v>M3</v>
      </c>
      <c r="E20" s="140">
        <f ca="1">IF($A20&lt;&gt;"Serviço",0,ROUND(SUMIF($F$9:$P$9,"&lt;&gt;",$F20:$P20),15-13*PO!$X$3))</f>
        <v>262.5</v>
      </c>
      <c r="F20" s="360">
        <f ca="1">OFFSET(PO!$P$12,ROW($E20)-ROW(F$12),0)</f>
        <v>262.5</v>
      </c>
      <c r="G20" s="360"/>
      <c r="H20" s="360"/>
      <c r="I20" s="360"/>
      <c r="J20" s="360"/>
      <c r="K20" s="360"/>
      <c r="L20" s="360"/>
      <c r="M20" s="360"/>
      <c r="N20" s="360"/>
      <c r="O20" s="360"/>
      <c r="U20" s="182"/>
    </row>
    <row r="21" spans="1:21" s="1" customFormat="1" x14ac:dyDescent="0.25">
      <c r="A21" s="110" t="str">
        <f ca="1">OFFSET(PO!J$12,ROW(A21)-ROW($A$12),0)</f>
        <v>Serviço</v>
      </c>
      <c r="B21" s="112" t="str">
        <f ca="1">IF($A21=0,"",OFFSET(PO!K$12,ROW(B21)-ROW(B$12),0))</f>
        <v>2.1.0.3.</v>
      </c>
      <c r="C21" s="109" t="str">
        <f ca="1">IF(OFFSET(PO!N$12,ROW(C21)-ROW(C$12),0)=0,"",OFFSET(PO!N$12,ROW(C21)-ROW(C$12),0))</f>
        <v>Reforço do subleito com material de jazida</v>
      </c>
      <c r="D21" s="111" t="str">
        <f ca="1">IF(OFFSET(PO!O$12,ROW(D21)-ROW(D$12),0)=0,"",OFFSET(PO!O$12,ROW(D21)-ROW(D$12),0))</f>
        <v>M3</v>
      </c>
      <c r="E21" s="140">
        <f ca="1">IF($A21&lt;&gt;"Serviço",0,ROUND(SUMIF($F$9:$P$9,"&lt;&gt;",$F21:$P21),15-13*PO!$X$3))</f>
        <v>131.25</v>
      </c>
      <c r="F21" s="360">
        <f ca="1">OFFSET(PO!$P$12,ROW($E21)-ROW(F$12),0)</f>
        <v>131.25</v>
      </c>
      <c r="G21" s="360"/>
      <c r="H21" s="360"/>
      <c r="I21" s="360"/>
      <c r="J21" s="360"/>
      <c r="K21" s="360"/>
      <c r="L21" s="360"/>
      <c r="M21" s="360"/>
      <c r="N21" s="360"/>
      <c r="O21" s="360"/>
      <c r="U21" s="182"/>
    </row>
    <row r="22" spans="1:21" s="1" customFormat="1" x14ac:dyDescent="0.25">
      <c r="A22" s="110" t="str">
        <f ca="1">OFFSET(PO!J$12,ROW(A22)-ROW($A$12),0)</f>
        <v>Serviço</v>
      </c>
      <c r="B22" s="112" t="str">
        <f ca="1">IF($A22=0,"",OFFSET(PO!K$12,ROW(B22)-ROW(B$12),0))</f>
        <v>2.1.0.4.</v>
      </c>
      <c r="C22" s="109" t="str">
        <f ca="1">IF(OFFSET(PO!N$12,ROW(C22)-ROW(C$12),0)=0,"",OFFSET(PO!N$12,ROW(C22)-ROW(C$12),0))</f>
        <v>Base ou sub-base de brita graduada com brita comercial</v>
      </c>
      <c r="D22" s="111" t="str">
        <f ca="1">IF(OFFSET(PO!O$12,ROW(D22)-ROW(D$12),0)=0,"",OFFSET(PO!O$12,ROW(D22)-ROW(D$12),0))</f>
        <v>M3</v>
      </c>
      <c r="E22" s="140">
        <f ca="1">IF($A22&lt;&gt;"Serviço",0,ROUND(SUMIF($F$9:$P$9,"&lt;&gt;",$F22:$P22),15-13*PO!$X$3))</f>
        <v>131.25</v>
      </c>
      <c r="F22" s="360">
        <f ca="1">OFFSET(PO!$P$12,ROW($E22)-ROW(F$12),0)</f>
        <v>131.25</v>
      </c>
      <c r="G22" s="360"/>
      <c r="H22" s="360"/>
      <c r="I22" s="360"/>
      <c r="J22" s="360"/>
      <c r="K22" s="360"/>
      <c r="L22" s="360"/>
      <c r="M22" s="360"/>
      <c r="N22" s="360"/>
      <c r="O22" s="360"/>
      <c r="U22" s="182"/>
    </row>
    <row r="23" spans="1:21" s="1" customFormat="1" ht="26.4" x14ac:dyDescent="0.25">
      <c r="A23" s="110" t="str">
        <f ca="1">OFFSET(PO!J$12,ROW(A23)-ROW($A$12),0)</f>
        <v>Serviço</v>
      </c>
      <c r="B23" s="112" t="str">
        <f ca="1">IF($A23=0,"",OFFSET(PO!K$12,ROW(B23)-ROW(B$12),0))</f>
        <v>2.1.0.5.</v>
      </c>
      <c r="C23" s="109" t="str">
        <f ca="1">IF(OFFSET(PO!N$12,ROW(C23)-ROW(C$12),0)=0,"",OFFSET(PO!N$12,ROW(C23)-ROW(C$12),0))</f>
        <v>Transporte com caminhão basculante de 10 m³ - rodovia pavimentada (30km)</v>
      </c>
      <c r="D23" s="111" t="str">
        <f ca="1">IF(OFFSET(PO!O$12,ROW(D23)-ROW(D$12),0)=0,"",OFFSET(PO!O$12,ROW(D23)-ROW(D$12),0))</f>
        <v>TKM</v>
      </c>
      <c r="E23" s="140">
        <f ca="1">IF($A23&lt;&gt;"Serviço",0,ROUND(SUMIF($F$9:$P$9,"&lt;&gt;",$F23:$P23),15-13*PO!$X$3))</f>
        <v>14175</v>
      </c>
      <c r="F23" s="360">
        <f ca="1">OFFSET(PO!$P$12,ROW($E23)-ROW(F$12),0)</f>
        <v>14175</v>
      </c>
      <c r="G23" s="360"/>
      <c r="H23" s="360"/>
      <c r="I23" s="360"/>
      <c r="J23" s="360"/>
      <c r="K23" s="360"/>
      <c r="L23" s="360"/>
      <c r="M23" s="360"/>
      <c r="N23" s="360"/>
      <c r="O23" s="360"/>
      <c r="U23" s="182"/>
    </row>
    <row r="24" spans="1:21" s="1" customFormat="1" x14ac:dyDescent="0.25">
      <c r="A24" s="110" t="str">
        <f ca="1">OFFSET(PO!J$12,ROW(A24)-ROW($A$12),0)</f>
        <v>Nível 2</v>
      </c>
      <c r="B24" s="112" t="str">
        <f ca="1">IF($A24=0,"",OFFSET(PO!K$12,ROW(B24)-ROW(B$12),0))</f>
        <v>2.2.</v>
      </c>
      <c r="C24" s="109" t="str">
        <f ca="1">IF(OFFSET(PO!N$12,ROW(C24)-ROW(C$12),0)=0,"",OFFSET(PO!N$12,ROW(C24)-ROW(C$12),0))</f>
        <v>PAVIMENTAÇÃO EM CBUQ</v>
      </c>
      <c r="D24" s="111" t="str">
        <f ca="1">IF(OFFSET(PO!O$12,ROW(D24)-ROW(D$12),0)=0,"",OFFSET(PO!O$12,ROW(D24)-ROW(D$12),0))</f>
        <v/>
      </c>
      <c r="E24" s="140">
        <f ca="1">IF($A24&lt;&gt;"Serviço",0,ROUND(SUMIF($F$9:$P$9,"&lt;&gt;",$F24:$P24),15-13*PO!$X$3))</f>
        <v>0</v>
      </c>
      <c r="F24" s="360">
        <f ca="1">OFFSET(PO!$P$12,ROW($E24)-ROW(F$12),0)</f>
        <v>0</v>
      </c>
      <c r="G24" s="360"/>
      <c r="H24" s="360"/>
      <c r="I24" s="360"/>
      <c r="J24" s="360"/>
      <c r="K24" s="360"/>
      <c r="L24" s="360"/>
      <c r="M24" s="360"/>
      <c r="N24" s="360"/>
      <c r="O24" s="360"/>
      <c r="U24" s="182"/>
    </row>
    <row r="25" spans="1:21" s="1" customFormat="1" x14ac:dyDescent="0.25">
      <c r="A25" s="110" t="str">
        <f ca="1">OFFSET(PO!J$12,ROW(A25)-ROW($A$12),0)</f>
        <v>Serviço</v>
      </c>
      <c r="B25" s="112" t="str">
        <f ca="1">IF($A25=0,"",OFFSET(PO!K$12,ROW(B25)-ROW(B$12),0))</f>
        <v>2.2.0.1.</v>
      </c>
      <c r="C25" s="109" t="str">
        <f ca="1">IF(OFFSET(PO!N$12,ROW(C25)-ROW(C$12),0)=0,"",OFFSET(PO!N$12,ROW(C25)-ROW(C$12),0))</f>
        <v>Imprimação com emulsão asfáltica</v>
      </c>
      <c r="D25" s="111" t="str">
        <f ca="1">IF(OFFSET(PO!O$12,ROW(D25)-ROW(D$12),0)=0,"",OFFSET(PO!O$12,ROW(D25)-ROW(D$12),0))</f>
        <v>M2</v>
      </c>
      <c r="E25" s="140">
        <f ca="1">IF($A25&lt;&gt;"Serviço",0,ROUND(SUMIF($F$9:$P$9,"&lt;&gt;",$F25:$P25),15-13*PO!$X$3))</f>
        <v>525</v>
      </c>
      <c r="F25" s="360">
        <f ca="1">OFFSET(PO!$P$12,ROW($E25)-ROW(F$12),0)</f>
        <v>525</v>
      </c>
      <c r="G25" s="360"/>
      <c r="H25" s="360"/>
      <c r="I25" s="360"/>
      <c r="J25" s="360"/>
      <c r="K25" s="360"/>
      <c r="L25" s="360"/>
      <c r="M25" s="360"/>
      <c r="N25" s="360"/>
      <c r="O25" s="360"/>
      <c r="U25" s="182"/>
    </row>
    <row r="26" spans="1:21" s="1" customFormat="1" x14ac:dyDescent="0.25">
      <c r="A26" s="110" t="str">
        <f ca="1">OFFSET(PO!J$12,ROW(A26)-ROW($A$12),0)</f>
        <v>Serviço</v>
      </c>
      <c r="B26" s="112" t="str">
        <f ca="1">IF($A26=0,"",OFFSET(PO!K$12,ROW(B26)-ROW(B$12),0))</f>
        <v>2.2.0.2.</v>
      </c>
      <c r="C26" s="109" t="str">
        <f ca="1">IF(OFFSET(PO!N$12,ROW(C26)-ROW(C$12),0)=0,"",OFFSET(PO!N$12,ROW(C26)-ROW(C$12),0))</f>
        <v>Pintura de ligação</v>
      </c>
      <c r="D26" s="111" t="str">
        <f ca="1">IF(OFFSET(PO!O$12,ROW(D26)-ROW(D$12),0)=0,"",OFFSET(PO!O$12,ROW(D26)-ROW(D$12),0))</f>
        <v>M2</v>
      </c>
      <c r="E26" s="140">
        <f ca="1">IF($A26&lt;&gt;"Serviço",0,ROUND(SUMIF($F$9:$P$9,"&lt;&gt;",$F26:$P26),15-13*PO!$X$3))</f>
        <v>525</v>
      </c>
      <c r="F26" s="360">
        <f ca="1">OFFSET(PO!$P$12,ROW($E26)-ROW(F$12),0)</f>
        <v>525</v>
      </c>
      <c r="G26" s="360"/>
      <c r="H26" s="360"/>
      <c r="I26" s="360"/>
      <c r="J26" s="360"/>
      <c r="K26" s="360"/>
      <c r="L26" s="360"/>
      <c r="M26" s="360"/>
      <c r="N26" s="360"/>
      <c r="O26" s="360"/>
      <c r="U26" s="182"/>
    </row>
    <row r="27" spans="1:21" s="1" customFormat="1" x14ac:dyDescent="0.25">
      <c r="A27" s="110" t="str">
        <f ca="1">OFFSET(PO!J$12,ROW(A27)-ROW($A$12),0)</f>
        <v>Serviço</v>
      </c>
      <c r="B27" s="112" t="str">
        <f ca="1">IF($A27=0,"",OFFSET(PO!K$12,ROW(B27)-ROW(B$12),0))</f>
        <v>2.2.0.3.</v>
      </c>
      <c r="C27" s="109" t="str">
        <f ca="1">IF(OFFSET(PO!N$12,ROW(C27)-ROW(C$12),0)=0,"",OFFSET(PO!N$12,ROW(C27)-ROW(C$12),0))</f>
        <v>Concreto asfáltico - faixa C - areia e brita comerciais (0,125 T/M2)</v>
      </c>
      <c r="D27" s="111" t="str">
        <f ca="1">IF(OFFSET(PO!O$12,ROW(D27)-ROW(D$12),0)=0,"",OFFSET(PO!O$12,ROW(D27)-ROW(D$12),0))</f>
        <v>T</v>
      </c>
      <c r="E27" s="140">
        <f ca="1">IF($A27&lt;&gt;"Serviço",0,ROUND(SUMIF($F$9:$P$9,"&lt;&gt;",$F27:$P27),15-13*PO!$X$3))</f>
        <v>65.63</v>
      </c>
      <c r="F27" s="360">
        <f ca="1">OFFSET(PO!$P$12,ROW($E27)-ROW(F$12),0)</f>
        <v>65.625</v>
      </c>
      <c r="G27" s="360"/>
      <c r="H27" s="360"/>
      <c r="I27" s="360"/>
      <c r="J27" s="360"/>
      <c r="K27" s="360"/>
      <c r="L27" s="360"/>
      <c r="M27" s="360"/>
      <c r="N27" s="360"/>
      <c r="O27" s="360"/>
      <c r="U27" s="182"/>
    </row>
    <row r="28" spans="1:21" s="1" customFormat="1" x14ac:dyDescent="0.25">
      <c r="A28" s="110" t="str">
        <f ca="1">OFFSET(PO!J$12,ROW(A28)-ROW($A$12),0)</f>
        <v>Serviço</v>
      </c>
      <c r="B28" s="112" t="str">
        <f ca="1">IF($A28=0,"",OFFSET(PO!K$12,ROW(B28)-ROW(B$12),0))</f>
        <v>2.2.0.4.</v>
      </c>
      <c r="C28" s="109" t="str">
        <f ca="1">IF(OFFSET(PO!N$12,ROW(C28)-ROW(C$12),0)=0,"",OFFSET(PO!N$12,ROW(C28)-ROW(C$12),0))</f>
        <v>AQUISIÇÃO DE EMULSÃO ASFÁLTICA EAI</v>
      </c>
      <c r="D28" s="111" t="str">
        <f ca="1">IF(OFFSET(PO!O$12,ROW(D28)-ROW(D$12),0)=0,"",OFFSET(PO!O$12,ROW(D28)-ROW(D$12),0))</f>
        <v>T</v>
      </c>
      <c r="E28" s="140">
        <f ca="1">IF($A28&lt;&gt;"Serviço",0,ROUND(SUMIF($F$9:$P$9,"&lt;&gt;",$F28:$P28),15-13*PO!$X$3))</f>
        <v>0.68</v>
      </c>
      <c r="F28" s="360">
        <f ca="1">OFFSET(PO!$P$12,ROW($E28)-ROW(F$12),0)</f>
        <v>0.6825</v>
      </c>
      <c r="G28" s="360"/>
      <c r="H28" s="360"/>
      <c r="I28" s="360"/>
      <c r="J28" s="360"/>
      <c r="K28" s="360"/>
      <c r="L28" s="360"/>
      <c r="M28" s="360"/>
      <c r="N28" s="360"/>
      <c r="O28" s="360"/>
      <c r="U28" s="182"/>
    </row>
    <row r="29" spans="1:21" s="1" customFormat="1" x14ac:dyDescent="0.25">
      <c r="A29" s="110" t="str">
        <f ca="1">OFFSET(PO!J$12,ROW(A29)-ROW($A$12),0)</f>
        <v>Serviço</v>
      </c>
      <c r="B29" s="112" t="str">
        <f ca="1">IF($A29=0,"",OFFSET(PO!K$12,ROW(B29)-ROW(B$12),0))</f>
        <v>2.2.0.5.</v>
      </c>
      <c r="C29" s="109" t="str">
        <f ca="1">IF(OFFSET(PO!N$12,ROW(C29)-ROW(C$12),0)=0,"",OFFSET(PO!N$12,ROW(C29)-ROW(C$12),0))</f>
        <v>AQUISIÇÃO DE EMULSÃO ASFÁLTICA RR-1C</v>
      </c>
      <c r="D29" s="111" t="str">
        <f ca="1">IF(OFFSET(PO!O$12,ROW(D29)-ROW(D$12),0)=0,"",OFFSET(PO!O$12,ROW(D29)-ROW(D$12),0))</f>
        <v>T</v>
      </c>
      <c r="E29" s="140">
        <f ca="1">IF($A29&lt;&gt;"Serviço",0,ROUND(SUMIF($F$9:$P$9,"&lt;&gt;",$F29:$P29),15-13*PO!$X$3))</f>
        <v>0.47</v>
      </c>
      <c r="F29" s="360">
        <f ca="1">OFFSET(PO!$P$12,ROW($E29)-ROW(F$12),0)</f>
        <v>0.47249999999999998</v>
      </c>
      <c r="G29" s="360"/>
      <c r="H29" s="360"/>
      <c r="I29" s="360"/>
      <c r="J29" s="360"/>
      <c r="K29" s="360"/>
      <c r="L29" s="360"/>
      <c r="M29" s="360"/>
      <c r="N29" s="360"/>
      <c r="O29" s="360"/>
      <c r="U29" s="182"/>
    </row>
    <row r="30" spans="1:21" s="1" customFormat="1" x14ac:dyDescent="0.25">
      <c r="A30" s="110" t="str">
        <f ca="1">OFFSET(PO!J$12,ROW(A30)-ROW($A$12),0)</f>
        <v>Serviço</v>
      </c>
      <c r="B30" s="112" t="str">
        <f ca="1">IF($A30=0,"",OFFSET(PO!K$12,ROW(B30)-ROW(B$12),0))</f>
        <v>2.2.0.6.</v>
      </c>
      <c r="C30" s="109" t="str">
        <f ca="1">IF(OFFSET(PO!N$12,ROW(C30)-ROW(C$12),0)=0,"",OFFSET(PO!N$12,ROW(C30)-ROW(C$12),0))</f>
        <v>AQUISIÇÃO DE LIGANTE ASFÁLTICA CAP 50/70</v>
      </c>
      <c r="D30" s="111" t="str">
        <f ca="1">IF(OFFSET(PO!O$12,ROW(D30)-ROW(D$12),0)=0,"",OFFSET(PO!O$12,ROW(D30)-ROW(D$12),0))</f>
        <v>T</v>
      </c>
      <c r="E30" s="140">
        <f ca="1">IF($A30&lt;&gt;"Serviço",0,ROUND(SUMIF($F$9:$P$9,"&lt;&gt;",$F30:$P30),15-13*PO!$X$3))</f>
        <v>5.72</v>
      </c>
      <c r="F30" s="360">
        <f ca="1">OFFSET(PO!$P$12,ROW($E30)-ROW(F$12),0)</f>
        <v>5.7225000000000001</v>
      </c>
      <c r="G30" s="360"/>
      <c r="H30" s="360"/>
      <c r="I30" s="360"/>
      <c r="J30" s="360"/>
      <c r="K30" s="360"/>
      <c r="L30" s="360"/>
      <c r="M30" s="360"/>
      <c r="N30" s="360"/>
      <c r="O30" s="360"/>
      <c r="U30" s="182"/>
    </row>
    <row r="31" spans="1:21" s="1" customFormat="1" x14ac:dyDescent="0.25">
      <c r="A31" s="110" t="str">
        <f ca="1">OFFSET(PO!J$12,ROW(A31)-ROW($A$12),0)</f>
        <v>Nível 3</v>
      </c>
      <c r="B31" s="112" t="str">
        <f ca="1">IF($A31=0,"",OFFSET(PO!K$12,ROW(B31)-ROW(B$12),0))</f>
        <v>2.2.1.</v>
      </c>
      <c r="C31" s="109" t="str">
        <f ca="1">IF(OFFSET(PO!N$12,ROW(C31)-ROW(C$12),0)=0,"",OFFSET(PO!N$12,ROW(C31)-ROW(C$12),0))</f>
        <v>CARGA, TRANSPORTE E DESCARGA.</v>
      </c>
      <c r="D31" s="111" t="str">
        <f ca="1">IF(OFFSET(PO!O$12,ROW(D31)-ROW(D$12),0)=0,"",OFFSET(PO!O$12,ROW(D31)-ROW(D$12),0))</f>
        <v/>
      </c>
      <c r="E31" s="140">
        <f ca="1">IF($A31&lt;&gt;"Serviço",0,ROUND(SUMIF($F$9:$P$9,"&lt;&gt;",$F31:$P31),15-13*PO!$X$3))</f>
        <v>0</v>
      </c>
      <c r="F31" s="360">
        <f ca="1">OFFSET(PO!$P$12,ROW($E31)-ROW(F$12),0)</f>
        <v>0</v>
      </c>
      <c r="G31" s="360"/>
      <c r="H31" s="360"/>
      <c r="I31" s="360"/>
      <c r="J31" s="360"/>
      <c r="K31" s="360"/>
      <c r="L31" s="360"/>
      <c r="M31" s="360"/>
      <c r="N31" s="360"/>
      <c r="O31" s="360"/>
      <c r="U31" s="182"/>
    </row>
    <row r="32" spans="1:21" s="1" customFormat="1" ht="39.6" x14ac:dyDescent="0.25">
      <c r="A32" s="110" t="str">
        <f ca="1">OFFSET(PO!J$12,ROW(A32)-ROW($A$12),0)</f>
        <v>Serviço</v>
      </c>
      <c r="B32" s="112" t="str">
        <f ca="1">IF($A32=0,"",OFFSET(PO!K$12,ROW(B32)-ROW(B$12),0))</f>
        <v>2.2.1.1.</v>
      </c>
      <c r="C32" s="109" t="str">
        <f ca="1">IF(OFFSET(PO!N$12,ROW(C32)-ROW(C$12),0)=0,"",OFFSET(PO!N$12,ROW(C32)-ROW(C$12),0))</f>
        <v>Carga, manobra e descarga de mistura betuminosa a quente em caminhão basculante de 6 m³ - carga em usina de asfalto 100/140 t/h e descarga em vibroacabadora</v>
      </c>
      <c r="D32" s="111" t="str">
        <f ca="1">IF(OFFSET(PO!O$12,ROW(D32)-ROW(D$12),0)=0,"",OFFSET(PO!O$12,ROW(D32)-ROW(D$12),0))</f>
        <v>T</v>
      </c>
      <c r="E32" s="140">
        <f ca="1">IF($A32&lt;&gt;"Serviço",0,ROUND(SUMIF($F$9:$P$9,"&lt;&gt;",$F32:$P32),15-13*PO!$X$3))</f>
        <v>65.63</v>
      </c>
      <c r="F32" s="360">
        <f ca="1">OFFSET(PO!$P$12,ROW($E32)-ROW(F$12),0)</f>
        <v>65.625</v>
      </c>
      <c r="G32" s="360"/>
      <c r="H32" s="360"/>
      <c r="I32" s="360"/>
      <c r="J32" s="360"/>
      <c r="K32" s="360"/>
      <c r="L32" s="360"/>
      <c r="M32" s="360"/>
      <c r="N32" s="360"/>
      <c r="O32" s="360"/>
      <c r="U32" s="182"/>
    </row>
    <row r="33" spans="1:21" s="1" customFormat="1" ht="26.4" x14ac:dyDescent="0.25">
      <c r="A33" s="110" t="str">
        <f ca="1">OFFSET(PO!J$12,ROW(A33)-ROW($A$12),0)</f>
        <v>Serviço</v>
      </c>
      <c r="B33" s="112" t="str">
        <f ca="1">IF($A33=0,"",OFFSET(PO!K$12,ROW(B33)-ROW(B$12),0))</f>
        <v>2.2.1.2.</v>
      </c>
      <c r="C33" s="109" t="str">
        <f ca="1">IF(OFFSET(PO!N$12,ROW(C33)-ROW(C$12),0)=0,"",OFFSET(PO!N$12,ROW(C33)-ROW(C$12),0))</f>
        <v>Transporte de mistura betuminosa a quente com caminhão com caçamba térmica de 6 m³ - rodovia pavimentada (30KM)</v>
      </c>
      <c r="D33" s="111" t="str">
        <f ca="1">IF(OFFSET(PO!O$12,ROW(D33)-ROW(D$12),0)=0,"",OFFSET(PO!O$12,ROW(D33)-ROW(D$12),0))</f>
        <v>T</v>
      </c>
      <c r="E33" s="140">
        <f ca="1">IF($A33&lt;&gt;"Serviço",0,ROUND(SUMIF($F$9:$P$9,"&lt;&gt;",$F33:$P33),15-13*PO!$X$3))</f>
        <v>1968.75</v>
      </c>
      <c r="F33" s="360">
        <f ca="1">OFFSET(PO!$P$12,ROW($E33)-ROW(F$12),0)</f>
        <v>1968.75</v>
      </c>
      <c r="G33" s="360"/>
      <c r="H33" s="360"/>
      <c r="I33" s="360"/>
      <c r="J33" s="360"/>
      <c r="K33" s="360"/>
      <c r="L33" s="360"/>
      <c r="M33" s="360"/>
      <c r="N33" s="360"/>
      <c r="O33" s="360"/>
      <c r="U33" s="182"/>
    </row>
    <row r="34" spans="1:21" s="1" customFormat="1" ht="39.6" x14ac:dyDescent="0.25">
      <c r="A34" s="110" t="str">
        <f ca="1">OFFSET(PO!J$12,ROW(A34)-ROW($A$12),0)</f>
        <v>Serviço</v>
      </c>
      <c r="B34" s="112" t="str">
        <f ca="1">IF($A34=0,"",OFFSET(PO!K$12,ROW(B34)-ROW(B$12),0))</f>
        <v>2.2.1.3.</v>
      </c>
      <c r="C34" s="109" t="str">
        <f ca="1">IF(OFFSET(PO!N$12,ROW(C34)-ROW(C$12),0)=0,"",OFFSET(PO!N$12,ROW(C34)-ROW(C$12),0))</f>
        <v>TRANSPORTE COM CAMINHÃO TANQUE DE TRANSPORTE DE MATERIAL ASFÁLTICO DE 30000 L, EM VIA URBANA PAVIMENTADA, DMT ATÉ 30KM (UNIDADE: TXKM). AF_07/2020</v>
      </c>
      <c r="D34" s="111" t="str">
        <f ca="1">IF(OFFSET(PO!O$12,ROW(D34)-ROW(D$12),0)=0,"",OFFSET(PO!O$12,ROW(D34)-ROW(D$12),0))</f>
        <v>TXKM</v>
      </c>
      <c r="E34" s="140">
        <f ca="1">IF($A34&lt;&gt;"Serviço",0,ROUND(SUMIF($F$9:$P$9,"&lt;&gt;",$F34:$P34),15-13*PO!$X$3))</f>
        <v>113.4</v>
      </c>
      <c r="F34" s="360">
        <f ca="1">OFFSET(PO!$P$12,ROW($E34)-ROW(F$12),0)</f>
        <v>113.39999999999999</v>
      </c>
      <c r="G34" s="360"/>
      <c r="H34" s="360"/>
      <c r="I34" s="360"/>
      <c r="J34" s="360"/>
      <c r="K34" s="360"/>
      <c r="L34" s="360"/>
      <c r="M34" s="360"/>
      <c r="N34" s="360"/>
      <c r="O34" s="360"/>
      <c r="U34" s="182"/>
    </row>
    <row r="35" spans="1:21" s="1" customFormat="1" x14ac:dyDescent="0.25">
      <c r="A35" s="110" t="str">
        <f ca="1">OFFSET(PO!J$12,ROW(A35)-ROW($A$12),0)</f>
        <v>Nível 2</v>
      </c>
      <c r="B35" s="112" t="str">
        <f ca="1">IF($A35=0,"",OFFSET(PO!K$12,ROW(B35)-ROW(B$12),0))</f>
        <v>2.3.</v>
      </c>
      <c r="C35" s="109" t="str">
        <f ca="1">IF(OFFSET(PO!N$12,ROW(C35)-ROW(C$12),0)=0,"",OFFSET(PO!N$12,ROW(C35)-ROW(C$12),0))</f>
        <v>SINALIZAÇÃO</v>
      </c>
      <c r="D35" s="111" t="str">
        <f ca="1">IF(OFFSET(PO!O$12,ROW(D35)-ROW(D$12),0)=0,"",OFFSET(PO!O$12,ROW(D35)-ROW(D$12),0))</f>
        <v/>
      </c>
      <c r="E35" s="140">
        <f ca="1">IF($A35&lt;&gt;"Serviço",0,ROUND(SUMIF($F$9:$P$9,"&lt;&gt;",$F35:$P35),15-13*PO!$X$3))</f>
        <v>0</v>
      </c>
      <c r="F35" s="360">
        <f ca="1">OFFSET(PO!$P$12,ROW($E35)-ROW(F$12),0)</f>
        <v>0</v>
      </c>
      <c r="G35" s="360"/>
      <c r="H35" s="360"/>
      <c r="I35" s="360"/>
      <c r="J35" s="360"/>
      <c r="K35" s="360"/>
      <c r="L35" s="360"/>
      <c r="M35" s="360"/>
      <c r="N35" s="360"/>
      <c r="O35" s="360"/>
      <c r="U35" s="182"/>
    </row>
    <row r="36" spans="1:21" s="1" customFormat="1" ht="52.8" x14ac:dyDescent="0.25">
      <c r="A36" s="110" t="str">
        <f ca="1">OFFSET(PO!J$12,ROW(A36)-ROW($A$12),0)</f>
        <v>Serviço</v>
      </c>
      <c r="B36" s="112" t="str">
        <f ca="1">IF($A36=0,"",OFFSET(PO!K$12,ROW(B36)-ROW(B$12),0))</f>
        <v>2.3.0.1.</v>
      </c>
      <c r="C36" s="109" t="str">
        <f ca="1">IF(OFFSET(PO!N$12,ROW(C36)-ROW(C$12),0)=0,"",OFFSET(PO!N$12,ROW(C36)-ROW(C$12),0))</f>
        <v>PINTURA DE EIXO VIÁRIO SOBRE ASFALTO COM TINTA RETRORREFLETIVA A BASE DE RESINA ACRÍLICA COM MICROESFERAS DE VIDRO, APLICAÇÃO MECÂNICA COM DEMARCADORA AUTOPROPELIDA. AF_05/2021</v>
      </c>
      <c r="D36" s="111" t="str">
        <f ca="1">IF(OFFSET(PO!O$12,ROW(D36)-ROW(D$12),0)=0,"",OFFSET(PO!O$12,ROW(D36)-ROW(D$12),0))</f>
        <v>M</v>
      </c>
      <c r="E36" s="140">
        <f ca="1">IF($A36&lt;&gt;"Serviço",0,ROUND(SUMIF($F$9:$P$9,"&lt;&gt;",$F36:$P36),15-13*PO!$X$3))</f>
        <v>225</v>
      </c>
      <c r="F36" s="360">
        <f ca="1">OFFSET(PO!$P$12,ROW($E36)-ROW(F$12),0)</f>
        <v>225</v>
      </c>
      <c r="G36" s="360"/>
      <c r="H36" s="360"/>
      <c r="I36" s="360"/>
      <c r="J36" s="360"/>
      <c r="K36" s="360"/>
      <c r="L36" s="360"/>
      <c r="M36" s="360"/>
      <c r="N36" s="360"/>
      <c r="O36" s="360"/>
      <c r="U36" s="182"/>
    </row>
    <row r="37" spans="1:21" s="1" customFormat="1" ht="39.6" x14ac:dyDescent="0.25">
      <c r="A37" s="110" t="str">
        <f ca="1">OFFSET(PO!J$12,ROW(A37)-ROW($A$12),0)</f>
        <v>Serviço</v>
      </c>
      <c r="B37" s="112" t="str">
        <f ca="1">IF($A37=0,"",OFFSET(PO!K$12,ROW(B37)-ROW(B$12),0))</f>
        <v>2.3.0.2.</v>
      </c>
      <c r="C37" s="109" t="str">
        <f ca="1">IF(OFFSET(PO!N$12,ROW(C37)-ROW(C$12),0)=0,"",OFFSET(PO!N$12,ROW(C37)-ROW(C$12),0))</f>
        <v xml:space="preserve">FORNECIMENTO E INSTALAÇÃO DE PLACAS SEMIREFLETIVAS DE REGULAMENTAÇÃO OU ADVERTÊNCIA COM SUPORTE METÁLICO </v>
      </c>
      <c r="D37" s="111" t="str">
        <f ca="1">IF(OFFSET(PO!O$12,ROW(D37)-ROW(D$12),0)=0,"",OFFSET(PO!O$12,ROW(D37)-ROW(D$12),0))</f>
        <v xml:space="preserve">UN </v>
      </c>
      <c r="E37" s="140">
        <f ca="1">IF($A37&lt;&gt;"Serviço",0,ROUND(SUMIF($F$9:$P$9,"&lt;&gt;",$F37:$P37),15-13*PO!$X$3))</f>
        <v>1</v>
      </c>
      <c r="F37" s="360">
        <f ca="1">OFFSET(PO!$P$12,ROW($E37)-ROW(F$12),0)</f>
        <v>1</v>
      </c>
      <c r="G37" s="360"/>
      <c r="H37" s="360"/>
      <c r="I37" s="360"/>
      <c r="J37" s="360"/>
      <c r="K37" s="360"/>
      <c r="L37" s="360"/>
      <c r="M37" s="360"/>
      <c r="N37" s="360"/>
      <c r="O37" s="360"/>
      <c r="U37" s="182"/>
    </row>
    <row r="38" spans="1:21" s="1" customFormat="1" x14ac:dyDescent="0.25">
      <c r="A38" s="110" t="str">
        <f ca="1">OFFSET(PO!J$12,ROW(A38)-ROW($A$12),0)</f>
        <v>Meta</v>
      </c>
      <c r="B38" s="112" t="str">
        <f ca="1">IF($A38=0,"",OFFSET(PO!K$12,ROW(B38)-ROW(B$12),0))</f>
        <v>3.</v>
      </c>
      <c r="C38" s="109" t="str">
        <f ca="1">IF(OFFSET(PO!N$12,ROW(C38)-ROW(C$12),0)=0,"",OFFSET(PO!N$12,ROW(C38)-ROW(C$12),0))</f>
        <v>TRECHO 2</v>
      </c>
      <c r="D38" s="111" t="str">
        <f ca="1">IF(OFFSET(PO!O$12,ROW(D38)-ROW(D$12),0)=0,"",OFFSET(PO!O$12,ROW(D38)-ROW(D$12),0))</f>
        <v/>
      </c>
      <c r="E38" s="140">
        <f ca="1">IF($A38&lt;&gt;"Serviço",0,ROUND(SUMIF($F$9:$P$9,"&lt;&gt;",$F38:$P38),15-13*PO!$X$3))</f>
        <v>0</v>
      </c>
      <c r="F38" s="360">
        <f ca="1">OFFSET(PO!$P$12,ROW($E38)-ROW(F$12),0)</f>
        <v>0</v>
      </c>
      <c r="G38" s="360"/>
      <c r="H38" s="360"/>
      <c r="I38" s="360"/>
      <c r="J38" s="360"/>
      <c r="K38" s="360"/>
      <c r="L38" s="360"/>
      <c r="M38" s="360"/>
      <c r="N38" s="360"/>
      <c r="O38" s="360"/>
      <c r="U38" s="182"/>
    </row>
    <row r="39" spans="1:21" s="1" customFormat="1" x14ac:dyDescent="0.25">
      <c r="A39" s="110" t="str">
        <f ca="1">OFFSET(PO!J$12,ROW(A39)-ROW($A$12),0)</f>
        <v>Nível 2</v>
      </c>
      <c r="B39" s="112" t="str">
        <f ca="1">IF($A39=0,"",OFFSET(PO!K$12,ROW(B39)-ROW(B$12),0))</f>
        <v>3.1.</v>
      </c>
      <c r="C39" s="109" t="str">
        <f ca="1">IF(OFFSET(PO!N$12,ROW(C39)-ROW(C$12),0)=0,"",OFFSET(PO!N$12,ROW(C39)-ROW(C$12),0))</f>
        <v>MOVIMENTAÇÃO DE TERRA E EXECUÇÃO DA BASE</v>
      </c>
      <c r="D39" s="111" t="str">
        <f ca="1">IF(OFFSET(PO!O$12,ROW(D39)-ROW(D$12),0)=0,"",OFFSET(PO!O$12,ROW(D39)-ROW(D$12),0))</f>
        <v/>
      </c>
      <c r="E39" s="140">
        <f ca="1">IF($A39&lt;&gt;"Serviço",0,ROUND(SUMIF($F$9:$P$9,"&lt;&gt;",$F39:$P39),15-13*PO!$X$3))</f>
        <v>0</v>
      </c>
      <c r="F39" s="360">
        <f ca="1">OFFSET(PO!$P$12,ROW($E39)-ROW(F$12),0)</f>
        <v>0</v>
      </c>
      <c r="G39" s="360"/>
      <c r="H39" s="360"/>
      <c r="I39" s="360"/>
      <c r="J39" s="360"/>
      <c r="K39" s="360"/>
      <c r="L39" s="360"/>
      <c r="M39" s="360"/>
      <c r="N39" s="360"/>
      <c r="O39" s="360"/>
      <c r="U39" s="182"/>
    </row>
    <row r="40" spans="1:21" s="1" customFormat="1" x14ac:dyDescent="0.25">
      <c r="A40" s="110" t="str">
        <f ca="1">OFFSET(PO!J$12,ROW(A40)-ROW($A$12),0)</f>
        <v>Serviço</v>
      </c>
      <c r="B40" s="112" t="str">
        <f ca="1">IF($A40=0,"",OFFSET(PO!K$12,ROW(B40)-ROW(B$12),0))</f>
        <v>3.1.0.1.</v>
      </c>
      <c r="C40" s="109" t="str">
        <f ca="1">IF(OFFSET(PO!N$12,ROW(C40)-ROW(C$12),0)=0,"",OFFSET(PO!N$12,ROW(C40)-ROW(C$12),0))</f>
        <v>SINALIZAÇÃO DE TRANSITO NOTURNA</v>
      </c>
      <c r="D40" s="111" t="str">
        <f ca="1">IF(OFFSET(PO!O$12,ROW(D40)-ROW(D$12),0)=0,"",OFFSET(PO!O$12,ROW(D40)-ROW(D$12),0))</f>
        <v xml:space="preserve">M     </v>
      </c>
      <c r="E40" s="140">
        <f ca="1">IF($A40&lt;&gt;"Serviço",0,ROUND(SUMIF($F$9:$P$9,"&lt;&gt;",$F40:$P40),15-13*PO!$X$3))</f>
        <v>25</v>
      </c>
      <c r="F40" s="360">
        <f ca="1">OFFSET(PO!$P$12,ROW($E40)-ROW(F$12),0)</f>
        <v>25</v>
      </c>
      <c r="G40" s="360"/>
      <c r="H40" s="360"/>
      <c r="I40" s="360"/>
      <c r="J40" s="360"/>
      <c r="K40" s="360"/>
      <c r="L40" s="360"/>
      <c r="M40" s="360"/>
      <c r="N40" s="360"/>
      <c r="O40" s="360"/>
      <c r="U40" s="182"/>
    </row>
    <row r="41" spans="1:21" s="1" customFormat="1" ht="39.6" x14ac:dyDescent="0.25">
      <c r="A41" s="110" t="str">
        <f ca="1">OFFSET(PO!J$12,ROW(A41)-ROW($A$12),0)</f>
        <v>Serviço</v>
      </c>
      <c r="B41" s="112" t="str">
        <f ca="1">IF($A41=0,"",OFFSET(PO!K$12,ROW(B41)-ROW(B$12),0))</f>
        <v>3.1.0.2.</v>
      </c>
      <c r="C41" s="109" t="str">
        <f ca="1">IF(OFFSET(PO!N$12,ROW(C41)-ROW(C$12),0)=0,"",OFFSET(PO!N$12,ROW(C41)-ROW(C$12),0))</f>
        <v>Escavação, carga e transporte de material de 1ª categoria - DMT de 1.000 a 1.200 m - caminho de serviço em leito natural - com carregadeira e caminhão basculante de 14 m³</v>
      </c>
      <c r="D41" s="111" t="str">
        <f ca="1">IF(OFFSET(PO!O$12,ROW(D41)-ROW(D$12),0)=0,"",OFFSET(PO!O$12,ROW(D41)-ROW(D$12),0))</f>
        <v>M3</v>
      </c>
      <c r="E41" s="140">
        <f ca="1">IF($A41&lt;&gt;"Serviço",0,ROUND(SUMIF($F$9:$P$9,"&lt;&gt;",$F41:$P41),15-13*PO!$X$3))</f>
        <v>87.5</v>
      </c>
      <c r="F41" s="360">
        <f ca="1">OFFSET(PO!$P$12,ROW($E41)-ROW(F$12),0)</f>
        <v>87.5</v>
      </c>
      <c r="G41" s="360"/>
      <c r="H41" s="360"/>
      <c r="I41" s="360"/>
      <c r="J41" s="360"/>
      <c r="K41" s="360"/>
      <c r="L41" s="360"/>
      <c r="M41" s="360"/>
      <c r="N41" s="360"/>
      <c r="O41" s="360"/>
      <c r="U41" s="182"/>
    </row>
    <row r="42" spans="1:21" s="1" customFormat="1" x14ac:dyDescent="0.25">
      <c r="A42" s="110" t="str">
        <f ca="1">OFFSET(PO!J$12,ROW(A42)-ROW($A$12),0)</f>
        <v>Serviço</v>
      </c>
      <c r="B42" s="112" t="str">
        <f ca="1">IF($A42=0,"",OFFSET(PO!K$12,ROW(B42)-ROW(B$12),0))</f>
        <v>3.1.0.3.</v>
      </c>
      <c r="C42" s="109" t="str">
        <f ca="1">IF(OFFSET(PO!N$12,ROW(C42)-ROW(C$12),0)=0,"",OFFSET(PO!N$12,ROW(C42)-ROW(C$12),0))</f>
        <v>Reforço do subleito com material de jazida</v>
      </c>
      <c r="D42" s="111" t="str">
        <f ca="1">IF(OFFSET(PO!O$12,ROW(D42)-ROW(D$12),0)=0,"",OFFSET(PO!O$12,ROW(D42)-ROW(D$12),0))</f>
        <v>M3</v>
      </c>
      <c r="E42" s="140">
        <f ca="1">IF($A42&lt;&gt;"Serviço",0,ROUND(SUMIF($F$9:$P$9,"&lt;&gt;",$F42:$P42),15-13*PO!$X$3))</f>
        <v>43.75</v>
      </c>
      <c r="F42" s="360">
        <f ca="1">OFFSET(PO!$P$12,ROW($E42)-ROW(F$12),0)</f>
        <v>43.75</v>
      </c>
      <c r="G42" s="360"/>
      <c r="H42" s="360"/>
      <c r="I42" s="360"/>
      <c r="J42" s="360"/>
      <c r="K42" s="360"/>
      <c r="L42" s="360"/>
      <c r="M42" s="360"/>
      <c r="N42" s="360"/>
      <c r="O42" s="360"/>
      <c r="U42" s="182"/>
    </row>
    <row r="43" spans="1:21" s="1" customFormat="1" x14ac:dyDescent="0.25">
      <c r="A43" s="110" t="str">
        <f ca="1">OFFSET(PO!J$12,ROW(A43)-ROW($A$12),0)</f>
        <v>Serviço</v>
      </c>
      <c r="B43" s="112" t="str">
        <f ca="1">IF($A43=0,"",OFFSET(PO!K$12,ROW(B43)-ROW(B$12),0))</f>
        <v>3.1.0.4.</v>
      </c>
      <c r="C43" s="109" t="str">
        <f ca="1">IF(OFFSET(PO!N$12,ROW(C43)-ROW(C$12),0)=0,"",OFFSET(PO!N$12,ROW(C43)-ROW(C$12),0))</f>
        <v>Base ou sub-base de brita graduada com brita comercial</v>
      </c>
      <c r="D43" s="111" t="str">
        <f ca="1">IF(OFFSET(PO!O$12,ROW(D43)-ROW(D$12),0)=0,"",OFFSET(PO!O$12,ROW(D43)-ROW(D$12),0))</f>
        <v>M3</v>
      </c>
      <c r="E43" s="140">
        <f ca="1">IF($A43&lt;&gt;"Serviço",0,ROUND(SUMIF($F$9:$P$9,"&lt;&gt;",$F43:$P43),15-13*PO!$X$3))</f>
        <v>43.75</v>
      </c>
      <c r="F43" s="360">
        <f ca="1">OFFSET(PO!$P$12,ROW($E43)-ROW(F$12),0)</f>
        <v>43.75</v>
      </c>
      <c r="G43" s="360"/>
      <c r="H43" s="360"/>
      <c r="I43" s="360"/>
      <c r="J43" s="360"/>
      <c r="K43" s="360"/>
      <c r="L43" s="360"/>
      <c r="M43" s="360"/>
      <c r="N43" s="360"/>
      <c r="O43" s="360"/>
      <c r="U43" s="182"/>
    </row>
    <row r="44" spans="1:21" s="1" customFormat="1" ht="26.4" x14ac:dyDescent="0.25">
      <c r="A44" s="110" t="str">
        <f ca="1">OFFSET(PO!J$12,ROW(A44)-ROW($A$12),0)</f>
        <v>Serviço</v>
      </c>
      <c r="B44" s="112" t="str">
        <f ca="1">IF($A44=0,"",OFFSET(PO!K$12,ROW(B44)-ROW(B$12),0))</f>
        <v>3.1.0.5.</v>
      </c>
      <c r="C44" s="109" t="str">
        <f ca="1">IF(OFFSET(PO!N$12,ROW(C44)-ROW(C$12),0)=0,"",OFFSET(PO!N$12,ROW(C44)-ROW(C$12),0))</f>
        <v>Transporte com caminhão basculante de 10 m³ - rodovia pavimentada (30km)</v>
      </c>
      <c r="D44" s="111" t="str">
        <f ca="1">IF(OFFSET(PO!O$12,ROW(D44)-ROW(D$12),0)=0,"",OFFSET(PO!O$12,ROW(D44)-ROW(D$12),0))</f>
        <v>TKM</v>
      </c>
      <c r="E44" s="140">
        <f ca="1">IF($A44&lt;&gt;"Serviço",0,ROUND(SUMIF($F$9:$P$9,"&lt;&gt;",$F44:$P44),15-13*PO!$X$3))</f>
        <v>4725</v>
      </c>
      <c r="F44" s="360">
        <f ca="1">OFFSET(PO!$P$12,ROW($E44)-ROW(F$12),0)</f>
        <v>4725</v>
      </c>
      <c r="G44" s="360"/>
      <c r="H44" s="360"/>
      <c r="I44" s="360"/>
      <c r="J44" s="360"/>
      <c r="K44" s="360"/>
      <c r="L44" s="360"/>
      <c r="M44" s="360"/>
      <c r="N44" s="360"/>
      <c r="O44" s="360"/>
      <c r="U44" s="182"/>
    </row>
    <row r="45" spans="1:21" s="1" customFormat="1" x14ac:dyDescent="0.25">
      <c r="A45" s="110" t="str">
        <f ca="1">OFFSET(PO!J$12,ROW(A45)-ROW($A$12),0)</f>
        <v>Nível 2</v>
      </c>
      <c r="B45" s="112" t="str">
        <f ca="1">IF($A45=0,"",OFFSET(PO!K$12,ROW(B45)-ROW(B$12),0))</f>
        <v>3.2.</v>
      </c>
      <c r="C45" s="109" t="str">
        <f ca="1">IF(OFFSET(PO!N$12,ROW(C45)-ROW(C$12),0)=0,"",OFFSET(PO!N$12,ROW(C45)-ROW(C$12),0))</f>
        <v>PAVIMENTAÇÃO EM CBUQ</v>
      </c>
      <c r="D45" s="111" t="str">
        <f ca="1">IF(OFFSET(PO!O$12,ROW(D45)-ROW(D$12),0)=0,"",OFFSET(PO!O$12,ROW(D45)-ROW(D$12),0))</f>
        <v/>
      </c>
      <c r="E45" s="140">
        <f ca="1">IF($A45&lt;&gt;"Serviço",0,ROUND(SUMIF($F$9:$P$9,"&lt;&gt;",$F45:$P45),15-13*PO!$X$3))</f>
        <v>0</v>
      </c>
      <c r="F45" s="360">
        <f ca="1">OFFSET(PO!$P$12,ROW($E45)-ROW(F$12),0)</f>
        <v>0</v>
      </c>
      <c r="G45" s="360"/>
      <c r="H45" s="360"/>
      <c r="I45" s="360"/>
      <c r="J45" s="360"/>
      <c r="K45" s="360"/>
      <c r="L45" s="360"/>
      <c r="M45" s="360"/>
      <c r="N45" s="360"/>
      <c r="O45" s="360"/>
      <c r="U45" s="182"/>
    </row>
    <row r="46" spans="1:21" s="1" customFormat="1" x14ac:dyDescent="0.25">
      <c r="A46" s="110" t="str">
        <f ca="1">OFFSET(PO!J$12,ROW(A46)-ROW($A$12),0)</f>
        <v>Serviço</v>
      </c>
      <c r="B46" s="112" t="str">
        <f ca="1">IF($A46=0,"",OFFSET(PO!K$12,ROW(B46)-ROW(B$12),0))</f>
        <v>3.2.0.1.</v>
      </c>
      <c r="C46" s="109" t="str">
        <f ca="1">IF(OFFSET(PO!N$12,ROW(C46)-ROW(C$12),0)=0,"",OFFSET(PO!N$12,ROW(C46)-ROW(C$12),0))</f>
        <v>Imprimação com emulsão asfáltica</v>
      </c>
      <c r="D46" s="111" t="str">
        <f ca="1">IF(OFFSET(PO!O$12,ROW(D46)-ROW(D$12),0)=0,"",OFFSET(PO!O$12,ROW(D46)-ROW(D$12),0))</f>
        <v>M2</v>
      </c>
      <c r="E46" s="140">
        <f ca="1">IF($A46&lt;&gt;"Serviço",0,ROUND(SUMIF($F$9:$P$9,"&lt;&gt;",$F46:$P46),15-13*PO!$X$3))</f>
        <v>175</v>
      </c>
      <c r="F46" s="360">
        <f ca="1">OFFSET(PO!$P$12,ROW($E46)-ROW(F$12),0)</f>
        <v>175</v>
      </c>
      <c r="G46" s="360"/>
      <c r="H46" s="360"/>
      <c r="I46" s="360"/>
      <c r="J46" s="360"/>
      <c r="K46" s="360"/>
      <c r="L46" s="360"/>
      <c r="M46" s="360"/>
      <c r="N46" s="360"/>
      <c r="O46" s="360"/>
      <c r="U46" s="182"/>
    </row>
    <row r="47" spans="1:21" s="1" customFormat="1" x14ac:dyDescent="0.25">
      <c r="A47" s="110" t="str">
        <f ca="1">OFFSET(PO!J$12,ROW(A47)-ROW($A$12),0)</f>
        <v>Serviço</v>
      </c>
      <c r="B47" s="112" t="str">
        <f ca="1">IF($A47=0,"",OFFSET(PO!K$12,ROW(B47)-ROW(B$12),0))</f>
        <v>3.2.0.2.</v>
      </c>
      <c r="C47" s="109" t="str">
        <f ca="1">IF(OFFSET(PO!N$12,ROW(C47)-ROW(C$12),0)=0,"",OFFSET(PO!N$12,ROW(C47)-ROW(C$12),0))</f>
        <v>Pintura de ligação</v>
      </c>
      <c r="D47" s="111" t="str">
        <f ca="1">IF(OFFSET(PO!O$12,ROW(D47)-ROW(D$12),0)=0,"",OFFSET(PO!O$12,ROW(D47)-ROW(D$12),0))</f>
        <v>M2</v>
      </c>
      <c r="E47" s="140">
        <f ca="1">IF($A47&lt;&gt;"Serviço",0,ROUND(SUMIF($F$9:$P$9,"&lt;&gt;",$F47:$P47),15-13*PO!$X$3))</f>
        <v>175</v>
      </c>
      <c r="F47" s="360">
        <f ca="1">OFFSET(PO!$P$12,ROW($E47)-ROW(F$12),0)</f>
        <v>175</v>
      </c>
      <c r="G47" s="360"/>
      <c r="H47" s="360"/>
      <c r="I47" s="360"/>
      <c r="J47" s="360"/>
      <c r="K47" s="360"/>
      <c r="L47" s="360"/>
      <c r="M47" s="360"/>
      <c r="N47" s="360"/>
      <c r="O47" s="360"/>
      <c r="U47" s="182"/>
    </row>
    <row r="48" spans="1:21" s="1" customFormat="1" x14ac:dyDescent="0.25">
      <c r="A48" s="110" t="str">
        <f ca="1">OFFSET(PO!J$12,ROW(A48)-ROW($A$12),0)</f>
        <v>Serviço</v>
      </c>
      <c r="B48" s="112" t="str">
        <f ca="1">IF($A48=0,"",OFFSET(PO!K$12,ROW(B48)-ROW(B$12),0))</f>
        <v>3.2.0.3.</v>
      </c>
      <c r="C48" s="109" t="str">
        <f ca="1">IF(OFFSET(PO!N$12,ROW(C48)-ROW(C$12),0)=0,"",OFFSET(PO!N$12,ROW(C48)-ROW(C$12),0))</f>
        <v>Concreto asfáltico - faixa C - areia e brita comerciais (0,125 T/M2)</v>
      </c>
      <c r="D48" s="111" t="str">
        <f ca="1">IF(OFFSET(PO!O$12,ROW(D48)-ROW(D$12),0)=0,"",OFFSET(PO!O$12,ROW(D48)-ROW(D$12),0))</f>
        <v>T</v>
      </c>
      <c r="E48" s="140">
        <f ca="1">IF($A48&lt;&gt;"Serviço",0,ROUND(SUMIF($F$9:$P$9,"&lt;&gt;",$F48:$P48),15-13*PO!$X$3))</f>
        <v>21.88</v>
      </c>
      <c r="F48" s="360">
        <f ca="1">OFFSET(PO!$P$12,ROW($E48)-ROW(F$12),0)</f>
        <v>21.875</v>
      </c>
      <c r="G48" s="360"/>
      <c r="H48" s="360"/>
      <c r="I48" s="360"/>
      <c r="J48" s="360"/>
      <c r="K48" s="360"/>
      <c r="L48" s="360"/>
      <c r="M48" s="360"/>
      <c r="N48" s="360"/>
      <c r="O48" s="360"/>
      <c r="U48" s="182"/>
    </row>
    <row r="49" spans="1:21" s="1" customFormat="1" x14ac:dyDescent="0.25">
      <c r="A49" s="110" t="str">
        <f ca="1">OFFSET(PO!J$12,ROW(A49)-ROW($A$12),0)</f>
        <v>Serviço</v>
      </c>
      <c r="B49" s="112" t="str">
        <f ca="1">IF($A49=0,"",OFFSET(PO!K$12,ROW(B49)-ROW(B$12),0))</f>
        <v>3.2.0.4.</v>
      </c>
      <c r="C49" s="109" t="str">
        <f ca="1">IF(OFFSET(PO!N$12,ROW(C49)-ROW(C$12),0)=0,"",OFFSET(PO!N$12,ROW(C49)-ROW(C$12),0))</f>
        <v>AQUISIÇÃO DE EMULSÃO ASFÁLTICA EAI</v>
      </c>
      <c r="D49" s="111" t="str">
        <f ca="1">IF(OFFSET(PO!O$12,ROW(D49)-ROW(D$12),0)=0,"",OFFSET(PO!O$12,ROW(D49)-ROW(D$12),0))</f>
        <v>T</v>
      </c>
      <c r="E49" s="140">
        <f ca="1">IF($A49&lt;&gt;"Serviço",0,ROUND(SUMIF($F$9:$P$9,"&lt;&gt;",$F49:$P49),15-13*PO!$X$3))</f>
        <v>0.23</v>
      </c>
      <c r="F49" s="360">
        <f ca="1">OFFSET(PO!$P$12,ROW($E49)-ROW(F$12),0)</f>
        <v>0.22749999999999998</v>
      </c>
      <c r="G49" s="360"/>
      <c r="H49" s="360"/>
      <c r="I49" s="360"/>
      <c r="J49" s="360"/>
      <c r="K49" s="360"/>
      <c r="L49" s="360"/>
      <c r="M49" s="360"/>
      <c r="N49" s="360"/>
      <c r="O49" s="360"/>
      <c r="U49" s="182"/>
    </row>
    <row r="50" spans="1:21" s="1" customFormat="1" x14ac:dyDescent="0.25">
      <c r="A50" s="110" t="str">
        <f ca="1">OFFSET(PO!J$12,ROW(A50)-ROW($A$12),0)</f>
        <v>Serviço</v>
      </c>
      <c r="B50" s="112" t="str">
        <f ca="1">IF($A50=0,"",OFFSET(PO!K$12,ROW(B50)-ROW(B$12),0))</f>
        <v>3.2.0.5.</v>
      </c>
      <c r="C50" s="109" t="str">
        <f ca="1">IF(OFFSET(PO!N$12,ROW(C50)-ROW(C$12),0)=0,"",OFFSET(PO!N$12,ROW(C50)-ROW(C$12),0))</f>
        <v>AQUISIÇÃO DE EMULSÃO ASFÁLTICA RR-1C</v>
      </c>
      <c r="D50" s="111" t="str">
        <f ca="1">IF(OFFSET(PO!O$12,ROW(D50)-ROW(D$12),0)=0,"",OFFSET(PO!O$12,ROW(D50)-ROW(D$12),0))</f>
        <v>T</v>
      </c>
      <c r="E50" s="140">
        <f ca="1">IF($A50&lt;&gt;"Serviço",0,ROUND(SUMIF($F$9:$P$9,"&lt;&gt;",$F50:$P50),15-13*PO!$X$3))</f>
        <v>0.16</v>
      </c>
      <c r="F50" s="360">
        <f ca="1">OFFSET(PO!$P$12,ROW($E50)-ROW(F$12),0)</f>
        <v>0.1575</v>
      </c>
      <c r="G50" s="360"/>
      <c r="H50" s="360"/>
      <c r="I50" s="360"/>
      <c r="J50" s="360"/>
      <c r="K50" s="360"/>
      <c r="L50" s="360"/>
      <c r="M50" s="360"/>
      <c r="N50" s="360"/>
      <c r="O50" s="360"/>
      <c r="U50" s="182"/>
    </row>
    <row r="51" spans="1:21" s="1" customFormat="1" x14ac:dyDescent="0.25">
      <c r="A51" s="110" t="str">
        <f ca="1">OFFSET(PO!J$12,ROW(A51)-ROW($A$12),0)</f>
        <v>Serviço</v>
      </c>
      <c r="B51" s="112" t="str">
        <f ca="1">IF($A51=0,"",OFFSET(PO!K$12,ROW(B51)-ROW(B$12),0))</f>
        <v>3.2.0.6.</v>
      </c>
      <c r="C51" s="109" t="str">
        <f ca="1">IF(OFFSET(PO!N$12,ROW(C51)-ROW(C$12),0)=0,"",OFFSET(PO!N$12,ROW(C51)-ROW(C$12),0))</f>
        <v>AQUISIÇÃO DE LIGANTE ASFÁLTICA CAP 50/70</v>
      </c>
      <c r="D51" s="111" t="str">
        <f ca="1">IF(OFFSET(PO!O$12,ROW(D51)-ROW(D$12),0)=0,"",OFFSET(PO!O$12,ROW(D51)-ROW(D$12),0))</f>
        <v>T</v>
      </c>
      <c r="E51" s="140">
        <f ca="1">IF($A51&lt;&gt;"Serviço",0,ROUND(SUMIF($F$9:$P$9,"&lt;&gt;",$F51:$P51),15-13*PO!$X$3))</f>
        <v>1.91</v>
      </c>
      <c r="F51" s="360">
        <f ca="1">OFFSET(PO!$P$12,ROW($E51)-ROW(F$12),0)</f>
        <v>1.9075</v>
      </c>
      <c r="G51" s="360"/>
      <c r="H51" s="360"/>
      <c r="I51" s="360"/>
      <c r="J51" s="360"/>
      <c r="K51" s="360"/>
      <c r="L51" s="360"/>
      <c r="M51" s="360"/>
      <c r="N51" s="360"/>
      <c r="O51" s="360"/>
      <c r="U51" s="182"/>
    </row>
    <row r="52" spans="1:21" s="1" customFormat="1" x14ac:dyDescent="0.25">
      <c r="A52" s="110" t="str">
        <f ca="1">OFFSET(PO!J$12,ROW(A52)-ROW($A$12),0)</f>
        <v>Nível 3</v>
      </c>
      <c r="B52" s="112" t="str">
        <f ca="1">IF($A52=0,"",OFFSET(PO!K$12,ROW(B52)-ROW(B$12),0))</f>
        <v>3.2.1.</v>
      </c>
      <c r="C52" s="109" t="str">
        <f ca="1">IF(OFFSET(PO!N$12,ROW(C52)-ROW(C$12),0)=0,"",OFFSET(PO!N$12,ROW(C52)-ROW(C$12),0))</f>
        <v>CARGA, TRANSPORTE E DESCARGA.</v>
      </c>
      <c r="D52" s="111" t="str">
        <f ca="1">IF(OFFSET(PO!O$12,ROW(D52)-ROW(D$12),0)=0,"",OFFSET(PO!O$12,ROW(D52)-ROW(D$12),0))</f>
        <v/>
      </c>
      <c r="E52" s="140">
        <f ca="1">IF($A52&lt;&gt;"Serviço",0,ROUND(SUMIF($F$9:$P$9,"&lt;&gt;",$F52:$P52),15-13*PO!$X$3))</f>
        <v>0</v>
      </c>
      <c r="F52" s="360">
        <f ca="1">OFFSET(PO!$P$12,ROW($E52)-ROW(F$12),0)</f>
        <v>0</v>
      </c>
      <c r="G52" s="360"/>
      <c r="H52" s="360"/>
      <c r="I52" s="360"/>
      <c r="J52" s="360"/>
      <c r="K52" s="360"/>
      <c r="L52" s="360"/>
      <c r="M52" s="360"/>
      <c r="N52" s="360"/>
      <c r="O52" s="360"/>
      <c r="U52" s="182"/>
    </row>
    <row r="53" spans="1:21" s="1" customFormat="1" ht="39.6" x14ac:dyDescent="0.25">
      <c r="A53" s="110" t="str">
        <f ca="1">OFFSET(PO!J$12,ROW(A53)-ROW($A$12),0)</f>
        <v>Serviço</v>
      </c>
      <c r="B53" s="112" t="str">
        <f ca="1">IF($A53=0,"",OFFSET(PO!K$12,ROW(B53)-ROW(B$12),0))</f>
        <v>3.2.1.1.</v>
      </c>
      <c r="C53" s="109" t="str">
        <f ca="1">IF(OFFSET(PO!N$12,ROW(C53)-ROW(C$12),0)=0,"",OFFSET(PO!N$12,ROW(C53)-ROW(C$12),0))</f>
        <v>Carga, manobra e descarga de mistura betuminosa a quente em caminhão basculante de 6 m³ - carga em usina de asfalto 100/140 t/h e descarga em vibroacabadora</v>
      </c>
      <c r="D53" s="111" t="str">
        <f ca="1">IF(OFFSET(PO!O$12,ROW(D53)-ROW(D$12),0)=0,"",OFFSET(PO!O$12,ROW(D53)-ROW(D$12),0))</f>
        <v>T</v>
      </c>
      <c r="E53" s="140">
        <f ca="1">IF($A53&lt;&gt;"Serviço",0,ROUND(SUMIF($F$9:$P$9,"&lt;&gt;",$F53:$P53),15-13*PO!$X$3))</f>
        <v>21.88</v>
      </c>
      <c r="F53" s="360">
        <f ca="1">OFFSET(PO!$P$12,ROW($E53)-ROW(F$12),0)</f>
        <v>21.875</v>
      </c>
      <c r="G53" s="360"/>
      <c r="H53" s="360"/>
      <c r="I53" s="360"/>
      <c r="J53" s="360"/>
      <c r="K53" s="360"/>
      <c r="L53" s="360"/>
      <c r="M53" s="360"/>
      <c r="N53" s="360"/>
      <c r="O53" s="360"/>
      <c r="U53" s="182"/>
    </row>
    <row r="54" spans="1:21" s="1" customFormat="1" ht="26.4" x14ac:dyDescent="0.25">
      <c r="A54" s="110" t="str">
        <f ca="1">OFFSET(PO!J$12,ROW(A54)-ROW($A$12),0)</f>
        <v>Serviço</v>
      </c>
      <c r="B54" s="112" t="str">
        <f ca="1">IF($A54=0,"",OFFSET(PO!K$12,ROW(B54)-ROW(B$12),0))</f>
        <v>3.2.1.2.</v>
      </c>
      <c r="C54" s="109" t="str">
        <f ca="1">IF(OFFSET(PO!N$12,ROW(C54)-ROW(C$12),0)=0,"",OFFSET(PO!N$12,ROW(C54)-ROW(C$12),0))</f>
        <v>Transporte de mistura betuminosa a quente com caminhão com caçamba térmica de 6 m³ - rodovia pavimentada (20KM)</v>
      </c>
      <c r="D54" s="111" t="str">
        <f ca="1">IF(OFFSET(PO!O$12,ROW(D54)-ROW(D$12),0)=0,"",OFFSET(PO!O$12,ROW(D54)-ROW(D$12),0))</f>
        <v>T</v>
      </c>
      <c r="E54" s="140">
        <f ca="1">IF($A54&lt;&gt;"Serviço",0,ROUND(SUMIF($F$9:$P$9,"&lt;&gt;",$F54:$P54),15-13*PO!$X$3))</f>
        <v>656.25</v>
      </c>
      <c r="F54" s="360">
        <f ca="1">OFFSET(PO!$P$12,ROW($E54)-ROW(F$12),0)</f>
        <v>656.25</v>
      </c>
      <c r="G54" s="360"/>
      <c r="H54" s="360"/>
      <c r="I54" s="360"/>
      <c r="J54" s="360"/>
      <c r="K54" s="360"/>
      <c r="L54" s="360"/>
      <c r="M54" s="360"/>
      <c r="N54" s="360"/>
      <c r="O54" s="360"/>
      <c r="U54" s="182"/>
    </row>
    <row r="55" spans="1:21" s="1" customFormat="1" ht="39.6" x14ac:dyDescent="0.25">
      <c r="A55" s="110" t="str">
        <f ca="1">OFFSET(PO!J$12,ROW(A55)-ROW($A$12),0)</f>
        <v>Serviço</v>
      </c>
      <c r="B55" s="112" t="str">
        <f ca="1">IF($A55=0,"",OFFSET(PO!K$12,ROW(B55)-ROW(B$12),0))</f>
        <v>3.2.1.3.</v>
      </c>
      <c r="C55" s="109" t="str">
        <f ca="1">IF(OFFSET(PO!N$12,ROW(C55)-ROW(C$12),0)=0,"",OFFSET(PO!N$12,ROW(C55)-ROW(C$12),0))</f>
        <v>TRANSPORTE COM CAMINHÃO TANQUE DE TRANSPORTE DE MATERIAL ASFÁLTICO DE 30000 L, EM VIA URBANA PAVIMENTADA, DMT ATÉ 30KM (UNIDADE: TXKM). AF_07/2020</v>
      </c>
      <c r="D55" s="111" t="str">
        <f ca="1">IF(OFFSET(PO!O$12,ROW(D55)-ROW(D$12),0)=0,"",OFFSET(PO!O$12,ROW(D55)-ROW(D$12),0))</f>
        <v>TXKM</v>
      </c>
      <c r="E55" s="140">
        <f ca="1">IF($A55&lt;&gt;"Serviço",0,ROUND(SUMIF($F$9:$P$9,"&lt;&gt;",$F55:$P55),15-13*PO!$X$3))</f>
        <v>37.799999999999997</v>
      </c>
      <c r="F55" s="360">
        <f ca="1">OFFSET(PO!$P$12,ROW($E55)-ROW(F$12),0)</f>
        <v>37.799999999999997</v>
      </c>
      <c r="G55" s="360"/>
      <c r="H55" s="360"/>
      <c r="I55" s="360"/>
      <c r="J55" s="360"/>
      <c r="K55" s="360"/>
      <c r="L55" s="360"/>
      <c r="M55" s="360"/>
      <c r="N55" s="360"/>
      <c r="O55" s="360"/>
      <c r="U55" s="182"/>
    </row>
    <row r="56" spans="1:21" s="1" customFormat="1" x14ac:dyDescent="0.25">
      <c r="A56" s="110" t="str">
        <f ca="1">OFFSET(PO!J$12,ROW(A56)-ROW($A$12),0)</f>
        <v>Nível 2</v>
      </c>
      <c r="B56" s="112" t="str">
        <f ca="1">IF($A56=0,"",OFFSET(PO!K$12,ROW(B56)-ROW(B$12),0))</f>
        <v>3.3.</v>
      </c>
      <c r="C56" s="109" t="str">
        <f ca="1">IF(OFFSET(PO!N$12,ROW(C56)-ROW(C$12),0)=0,"",OFFSET(PO!N$12,ROW(C56)-ROW(C$12),0))</f>
        <v>SINALIZAÇÃO</v>
      </c>
      <c r="D56" s="111" t="str">
        <f ca="1">IF(OFFSET(PO!O$12,ROW(D56)-ROW(D$12),0)=0,"",OFFSET(PO!O$12,ROW(D56)-ROW(D$12),0))</f>
        <v/>
      </c>
      <c r="E56" s="140">
        <f ca="1">IF($A56&lt;&gt;"Serviço",0,ROUND(SUMIF($F$9:$P$9,"&lt;&gt;",$F56:$P56),15-13*PO!$X$3))</f>
        <v>0</v>
      </c>
      <c r="F56" s="360">
        <f ca="1">OFFSET(PO!$P$12,ROW($E56)-ROW(F$12),0)</f>
        <v>0</v>
      </c>
      <c r="G56" s="360"/>
      <c r="H56" s="360"/>
      <c r="I56" s="360"/>
      <c r="J56" s="360"/>
      <c r="K56" s="360"/>
      <c r="L56" s="360"/>
      <c r="M56" s="360"/>
      <c r="N56" s="360"/>
      <c r="O56" s="360"/>
      <c r="U56" s="182"/>
    </row>
    <row r="57" spans="1:21" s="1" customFormat="1" ht="52.8" x14ac:dyDescent="0.25">
      <c r="A57" s="110" t="str">
        <f ca="1">OFFSET(PO!J$12,ROW(A57)-ROW($A$12),0)</f>
        <v>Serviço</v>
      </c>
      <c r="B57" s="112" t="str">
        <f ca="1">IF($A57=0,"",OFFSET(PO!K$12,ROW(B57)-ROW(B$12),0))</f>
        <v>3.3.0.1.</v>
      </c>
      <c r="C57" s="109" t="str">
        <f ca="1">IF(OFFSET(PO!N$12,ROW(C57)-ROW(C$12),0)=0,"",OFFSET(PO!N$12,ROW(C57)-ROW(C$12),0))</f>
        <v>PINTURA DE EIXO VIÁRIO SOBRE ASFALTO COM TINTA RETRORREFLETIVA A BASE DE RESINA ACRÍLICA COM MICROESFERAS DE VIDRO, APLICAÇÃO MECÂNICA COM DEMARCADORA AUTOPROPELIDA. AF_05/2021</v>
      </c>
      <c r="D57" s="111" t="str">
        <f ca="1">IF(OFFSET(PO!O$12,ROW(D57)-ROW(D$12),0)=0,"",OFFSET(PO!O$12,ROW(D57)-ROW(D$12),0))</f>
        <v>M</v>
      </c>
      <c r="E57" s="140">
        <f ca="1">IF($A57&lt;&gt;"Serviço",0,ROUND(SUMIF($F$9:$P$9,"&lt;&gt;",$F57:$P57),15-13*PO!$X$3))</f>
        <v>75</v>
      </c>
      <c r="F57" s="360">
        <f ca="1">OFFSET(PO!$P$12,ROW($E57)-ROW(F$12),0)</f>
        <v>75</v>
      </c>
      <c r="G57" s="360"/>
      <c r="H57" s="360"/>
      <c r="I57" s="360"/>
      <c r="J57" s="360"/>
      <c r="K57" s="360"/>
      <c r="L57" s="360"/>
      <c r="M57" s="360"/>
      <c r="N57" s="360"/>
      <c r="O57" s="360"/>
      <c r="U57" s="182"/>
    </row>
    <row r="58" spans="1:21" s="1" customFormat="1" ht="39.6" x14ac:dyDescent="0.25">
      <c r="A58" s="110" t="str">
        <f ca="1">OFFSET(PO!J$12,ROW(A58)-ROW($A$12),0)</f>
        <v>Serviço</v>
      </c>
      <c r="B58" s="112" t="str">
        <f ca="1">IF($A58=0,"",OFFSET(PO!K$12,ROW(B58)-ROW(B$12),0))</f>
        <v>3.3.0.2.</v>
      </c>
      <c r="C58" s="109" t="str">
        <f ca="1">IF(OFFSET(PO!N$12,ROW(C58)-ROW(C$12),0)=0,"",OFFSET(PO!N$12,ROW(C58)-ROW(C$12),0))</f>
        <v xml:space="preserve">FORNECIMENTO E INSTALAÇÃO DE PLACAS SEMIREFLETIVAS DE REGULAMENTAÇÃO OU ADVERTÊNCIA COM SUPORTE METÁLICO </v>
      </c>
      <c r="D58" s="111" t="str">
        <f ca="1">IF(OFFSET(PO!O$12,ROW(D58)-ROW(D$12),0)=0,"",OFFSET(PO!O$12,ROW(D58)-ROW(D$12),0))</f>
        <v xml:space="preserve">UN </v>
      </c>
      <c r="E58" s="140">
        <f ca="1">IF($A58&lt;&gt;"Serviço",0,ROUND(SUMIF($F$9:$P$9,"&lt;&gt;",$F58:$P58),15-13*PO!$X$3))</f>
        <v>1</v>
      </c>
      <c r="F58" s="360">
        <f ca="1">OFFSET(PO!$P$12,ROW($E58)-ROW(F$12),0)</f>
        <v>1</v>
      </c>
      <c r="G58" s="360"/>
      <c r="H58" s="360"/>
      <c r="I58" s="360"/>
      <c r="J58" s="360"/>
      <c r="K58" s="360"/>
      <c r="L58" s="360"/>
      <c r="M58" s="360"/>
      <c r="N58" s="360"/>
      <c r="O58" s="360"/>
      <c r="U58" s="182"/>
    </row>
    <row r="59" spans="1:21" s="1" customFormat="1" x14ac:dyDescent="0.25">
      <c r="A59" s="110" t="str">
        <f ca="1">OFFSET(PO!J$12,ROW(A59)-ROW($A$12),0)</f>
        <v>Meta</v>
      </c>
      <c r="B59" s="112" t="str">
        <f ca="1">IF($A59=0,"",OFFSET(PO!K$12,ROW(B59)-ROW(B$12),0))</f>
        <v>4.</v>
      </c>
      <c r="C59" s="109" t="str">
        <f ca="1">IF(OFFSET(PO!N$12,ROW(C59)-ROW(C$12),0)=0,"",OFFSET(PO!N$12,ROW(C59)-ROW(C$12),0))</f>
        <v>TRECHO 3</v>
      </c>
      <c r="D59" s="111" t="str">
        <f ca="1">IF(OFFSET(PO!O$12,ROW(D59)-ROW(D$12),0)=0,"",OFFSET(PO!O$12,ROW(D59)-ROW(D$12),0))</f>
        <v/>
      </c>
      <c r="E59" s="140">
        <f ca="1">IF($A59&lt;&gt;"Serviço",0,ROUND(SUMIF($F$9:$P$9,"&lt;&gt;",$F59:$P59),15-13*PO!$X$3))</f>
        <v>0</v>
      </c>
      <c r="F59" s="360">
        <f ca="1">OFFSET(PO!$P$12,ROW($E59)-ROW(F$12),0)</f>
        <v>0</v>
      </c>
      <c r="G59" s="360"/>
      <c r="H59" s="360"/>
      <c r="I59" s="360"/>
      <c r="J59" s="360"/>
      <c r="K59" s="360"/>
      <c r="L59" s="360"/>
      <c r="M59" s="360"/>
      <c r="N59" s="360"/>
      <c r="O59" s="360"/>
      <c r="U59" s="182"/>
    </row>
    <row r="60" spans="1:21" s="1" customFormat="1" x14ac:dyDescent="0.25">
      <c r="A60" s="110" t="str">
        <f ca="1">OFFSET(PO!J$12,ROW(A60)-ROW($A$12),0)</f>
        <v>Nível 2</v>
      </c>
      <c r="B60" s="112" t="str">
        <f ca="1">IF($A60=0,"",OFFSET(PO!K$12,ROW(B60)-ROW(B$12),0))</f>
        <v>4.1.</v>
      </c>
      <c r="C60" s="109" t="str">
        <f ca="1">IF(OFFSET(PO!N$12,ROW(C60)-ROW(C$12),0)=0,"",OFFSET(PO!N$12,ROW(C60)-ROW(C$12),0))</f>
        <v>MOVIMENTAÇÃO DE TERRA E EXECUÇÃO DA BASE</v>
      </c>
      <c r="D60" s="111" t="str">
        <f ca="1">IF(OFFSET(PO!O$12,ROW(D60)-ROW(D$12),0)=0,"",OFFSET(PO!O$12,ROW(D60)-ROW(D$12),0))</f>
        <v/>
      </c>
      <c r="E60" s="140">
        <f ca="1">IF($A60&lt;&gt;"Serviço",0,ROUND(SUMIF($F$9:$P$9,"&lt;&gt;",$F60:$P60),15-13*PO!$X$3))</f>
        <v>0</v>
      </c>
      <c r="F60" s="360">
        <f ca="1">OFFSET(PO!$P$12,ROW($E60)-ROW(F$12),0)</f>
        <v>0</v>
      </c>
      <c r="G60" s="360"/>
      <c r="H60" s="360"/>
      <c r="I60" s="360"/>
      <c r="J60" s="360"/>
      <c r="K60" s="360"/>
      <c r="L60" s="360"/>
      <c r="M60" s="360"/>
      <c r="N60" s="360"/>
      <c r="O60" s="360"/>
      <c r="U60" s="182"/>
    </row>
    <row r="61" spans="1:21" s="1" customFormat="1" x14ac:dyDescent="0.25">
      <c r="A61" s="110" t="str">
        <f ca="1">OFFSET(PO!J$12,ROW(A61)-ROW($A$12),0)</f>
        <v>Serviço</v>
      </c>
      <c r="B61" s="112" t="str">
        <f ca="1">IF($A61=0,"",OFFSET(PO!K$12,ROW(B61)-ROW(B$12),0))</f>
        <v>4.1.0.1.</v>
      </c>
      <c r="C61" s="109" t="str">
        <f ca="1">IF(OFFSET(PO!N$12,ROW(C61)-ROW(C$12),0)=0,"",OFFSET(PO!N$12,ROW(C61)-ROW(C$12),0))</f>
        <v>SINALIZAÇÃO DE TRANSITO NOTURNA</v>
      </c>
      <c r="D61" s="111" t="str">
        <f ca="1">IF(OFFSET(PO!O$12,ROW(D61)-ROW(D$12),0)=0,"",OFFSET(PO!O$12,ROW(D61)-ROW(D$12),0))</f>
        <v xml:space="preserve">M     </v>
      </c>
      <c r="E61" s="140">
        <f ca="1">IF($A61&lt;&gt;"Serviço",0,ROUND(SUMIF($F$9:$P$9,"&lt;&gt;",$F61:$P61),15-13*PO!$X$3))</f>
        <v>240</v>
      </c>
      <c r="F61" s="360">
        <f ca="1">OFFSET(PO!$P$12,ROW($E61)-ROW(F$12),0)</f>
        <v>240</v>
      </c>
      <c r="G61" s="360"/>
      <c r="H61" s="360"/>
      <c r="I61" s="360"/>
      <c r="J61" s="360"/>
      <c r="K61" s="360"/>
      <c r="L61" s="360"/>
      <c r="M61" s="360"/>
      <c r="N61" s="360"/>
      <c r="O61" s="360"/>
      <c r="U61" s="182"/>
    </row>
    <row r="62" spans="1:21" s="1" customFormat="1" ht="39.6" x14ac:dyDescent="0.25">
      <c r="A62" s="110" t="str">
        <f ca="1">OFFSET(PO!J$12,ROW(A62)-ROW($A$12),0)</f>
        <v>Serviço</v>
      </c>
      <c r="B62" s="112" t="str">
        <f ca="1">IF($A62=0,"",OFFSET(PO!K$12,ROW(B62)-ROW(B$12),0))</f>
        <v>4.1.0.2.</v>
      </c>
      <c r="C62" s="109" t="str">
        <f ca="1">IF(OFFSET(PO!N$12,ROW(C62)-ROW(C$12),0)=0,"",OFFSET(PO!N$12,ROW(C62)-ROW(C$12),0))</f>
        <v>Escavação, carga e transporte de material de 1ª categoria - DMT de 1.000 a 1.200 m - caminho de serviço em leito natural - com carregadeira e caminhão basculante de 14 m³</v>
      </c>
      <c r="D62" s="111" t="str">
        <f ca="1">IF(OFFSET(PO!O$12,ROW(D62)-ROW(D$12),0)=0,"",OFFSET(PO!O$12,ROW(D62)-ROW(D$12),0))</f>
        <v>M3</v>
      </c>
      <c r="E62" s="140">
        <f ca="1">IF($A62&lt;&gt;"Serviço",0,ROUND(SUMIF($F$9:$P$9,"&lt;&gt;",$F62:$P62),15-13*PO!$X$3))</f>
        <v>840</v>
      </c>
      <c r="F62" s="360">
        <f ca="1">OFFSET(PO!$P$12,ROW($E62)-ROW(F$12),0)</f>
        <v>840</v>
      </c>
      <c r="G62" s="360"/>
      <c r="H62" s="360"/>
      <c r="I62" s="360"/>
      <c r="J62" s="360"/>
      <c r="K62" s="360"/>
      <c r="L62" s="360"/>
      <c r="M62" s="360"/>
      <c r="N62" s="360"/>
      <c r="O62" s="360"/>
      <c r="U62" s="182"/>
    </row>
    <row r="63" spans="1:21" s="1" customFormat="1" x14ac:dyDescent="0.25">
      <c r="A63" s="110" t="str">
        <f ca="1">OFFSET(PO!J$12,ROW(A63)-ROW($A$12),0)</f>
        <v>Serviço</v>
      </c>
      <c r="B63" s="112" t="str">
        <f ca="1">IF($A63=0,"",OFFSET(PO!K$12,ROW(B63)-ROW(B$12),0))</f>
        <v>4.1.0.3.</v>
      </c>
      <c r="C63" s="109" t="str">
        <f ca="1">IF(OFFSET(PO!N$12,ROW(C63)-ROW(C$12),0)=0,"",OFFSET(PO!N$12,ROW(C63)-ROW(C$12),0))</f>
        <v>Reforço do subleito com material de jazida</v>
      </c>
      <c r="D63" s="111" t="str">
        <f ca="1">IF(OFFSET(PO!O$12,ROW(D63)-ROW(D$12),0)=0,"",OFFSET(PO!O$12,ROW(D63)-ROW(D$12),0))</f>
        <v>M3</v>
      </c>
      <c r="E63" s="140">
        <f ca="1">IF($A63&lt;&gt;"Serviço",0,ROUND(SUMIF($F$9:$P$9,"&lt;&gt;",$F63:$P63),15-13*PO!$X$3))</f>
        <v>420</v>
      </c>
      <c r="F63" s="360">
        <f ca="1">OFFSET(PO!$P$12,ROW($E63)-ROW(F$12),0)</f>
        <v>420</v>
      </c>
      <c r="G63" s="360"/>
      <c r="H63" s="360"/>
      <c r="I63" s="360"/>
      <c r="J63" s="360"/>
      <c r="K63" s="360"/>
      <c r="L63" s="360"/>
      <c r="M63" s="360"/>
      <c r="N63" s="360"/>
      <c r="O63" s="360"/>
      <c r="U63" s="182"/>
    </row>
    <row r="64" spans="1:21" s="1" customFormat="1" x14ac:dyDescent="0.25">
      <c r="A64" s="110" t="str">
        <f ca="1">OFFSET(PO!J$12,ROW(A64)-ROW($A$12),0)</f>
        <v>Serviço</v>
      </c>
      <c r="B64" s="112" t="str">
        <f ca="1">IF($A64=0,"",OFFSET(PO!K$12,ROW(B64)-ROW(B$12),0))</f>
        <v>4.1.0.4.</v>
      </c>
      <c r="C64" s="109" t="str">
        <f ca="1">IF(OFFSET(PO!N$12,ROW(C64)-ROW(C$12),0)=0,"",OFFSET(PO!N$12,ROW(C64)-ROW(C$12),0))</f>
        <v>Base ou sub-base de brita graduada com brita comercial</v>
      </c>
      <c r="D64" s="111" t="str">
        <f ca="1">IF(OFFSET(PO!O$12,ROW(D64)-ROW(D$12),0)=0,"",OFFSET(PO!O$12,ROW(D64)-ROW(D$12),0))</f>
        <v>M3</v>
      </c>
      <c r="E64" s="140">
        <f ca="1">IF($A64&lt;&gt;"Serviço",0,ROUND(SUMIF($F$9:$P$9,"&lt;&gt;",$F64:$P64),15-13*PO!$X$3))</f>
        <v>420</v>
      </c>
      <c r="F64" s="360">
        <f ca="1">OFFSET(PO!$P$12,ROW($E64)-ROW(F$12),0)</f>
        <v>420</v>
      </c>
      <c r="G64" s="360"/>
      <c r="H64" s="360"/>
      <c r="I64" s="360"/>
      <c r="J64" s="360"/>
      <c r="K64" s="360"/>
      <c r="L64" s="360"/>
      <c r="M64" s="360"/>
      <c r="N64" s="360"/>
      <c r="O64" s="360"/>
      <c r="U64" s="182"/>
    </row>
    <row r="65" spans="1:21" s="1" customFormat="1" ht="26.4" x14ac:dyDescent="0.25">
      <c r="A65" s="110" t="str">
        <f ca="1">OFFSET(PO!J$12,ROW(A65)-ROW($A$12),0)</f>
        <v>Serviço</v>
      </c>
      <c r="B65" s="112" t="str">
        <f ca="1">IF($A65=0,"",OFFSET(PO!K$12,ROW(B65)-ROW(B$12),0))</f>
        <v>4.1.0.5.</v>
      </c>
      <c r="C65" s="109" t="str">
        <f ca="1">IF(OFFSET(PO!N$12,ROW(C65)-ROW(C$12),0)=0,"",OFFSET(PO!N$12,ROW(C65)-ROW(C$12),0))</f>
        <v>Transporte com caminhão basculante de 10 m³ - rodovia pavimentada (30km)</v>
      </c>
      <c r="D65" s="111" t="str">
        <f ca="1">IF(OFFSET(PO!O$12,ROW(D65)-ROW(D$12),0)=0,"",OFFSET(PO!O$12,ROW(D65)-ROW(D$12),0))</f>
        <v>TKM</v>
      </c>
      <c r="E65" s="140">
        <f ca="1">IF($A65&lt;&gt;"Serviço",0,ROUND(SUMIF($F$9:$P$9,"&lt;&gt;",$F65:$P65),15-13*PO!$X$3))</f>
        <v>45360</v>
      </c>
      <c r="F65" s="360">
        <f ca="1">OFFSET(PO!$P$12,ROW($E65)-ROW(F$12),0)</f>
        <v>45360</v>
      </c>
      <c r="G65" s="360"/>
      <c r="H65" s="360"/>
      <c r="I65" s="360"/>
      <c r="J65" s="360"/>
      <c r="K65" s="360"/>
      <c r="L65" s="360"/>
      <c r="M65" s="360"/>
      <c r="N65" s="360"/>
      <c r="O65" s="360"/>
      <c r="U65" s="182"/>
    </row>
    <row r="66" spans="1:21" s="1" customFormat="1" x14ac:dyDescent="0.25">
      <c r="A66" s="110" t="str">
        <f ca="1">OFFSET(PO!J$12,ROW(A66)-ROW($A$12),0)</f>
        <v>Nível 2</v>
      </c>
      <c r="B66" s="112" t="str">
        <f ca="1">IF($A66=0,"",OFFSET(PO!K$12,ROW(B66)-ROW(B$12),0))</f>
        <v>4.2.</v>
      </c>
      <c r="C66" s="109" t="str">
        <f ca="1">IF(OFFSET(PO!N$12,ROW(C66)-ROW(C$12),0)=0,"",OFFSET(PO!N$12,ROW(C66)-ROW(C$12),0))</f>
        <v>PAVIMENTAÇÃO EM CBUQ</v>
      </c>
      <c r="D66" s="111" t="str">
        <f ca="1">IF(OFFSET(PO!O$12,ROW(D66)-ROW(D$12),0)=0,"",OFFSET(PO!O$12,ROW(D66)-ROW(D$12),0))</f>
        <v/>
      </c>
      <c r="E66" s="140">
        <f ca="1">IF($A66&lt;&gt;"Serviço",0,ROUND(SUMIF($F$9:$P$9,"&lt;&gt;",$F66:$P66),15-13*PO!$X$3))</f>
        <v>0</v>
      </c>
      <c r="F66" s="360">
        <f ca="1">OFFSET(PO!$P$12,ROW($E66)-ROW(F$12),0)</f>
        <v>0</v>
      </c>
      <c r="G66" s="360"/>
      <c r="H66" s="360"/>
      <c r="I66" s="360"/>
      <c r="J66" s="360"/>
      <c r="K66" s="360"/>
      <c r="L66" s="360"/>
      <c r="M66" s="360"/>
      <c r="N66" s="360"/>
      <c r="O66" s="360"/>
      <c r="U66" s="182"/>
    </row>
    <row r="67" spans="1:21" s="1" customFormat="1" x14ac:dyDescent="0.25">
      <c r="A67" s="110" t="str">
        <f ca="1">OFFSET(PO!J$12,ROW(A67)-ROW($A$12),0)</f>
        <v>Serviço</v>
      </c>
      <c r="B67" s="112" t="str">
        <f ca="1">IF($A67=0,"",OFFSET(PO!K$12,ROW(B67)-ROW(B$12),0))</f>
        <v>4.2.0.1.</v>
      </c>
      <c r="C67" s="109" t="str">
        <f ca="1">IF(OFFSET(PO!N$12,ROW(C67)-ROW(C$12),0)=0,"",OFFSET(PO!N$12,ROW(C67)-ROW(C$12),0))</f>
        <v>Imprimação com emulsão asfáltica</v>
      </c>
      <c r="D67" s="111" t="str">
        <f ca="1">IF(OFFSET(PO!O$12,ROW(D67)-ROW(D$12),0)=0,"",OFFSET(PO!O$12,ROW(D67)-ROW(D$12),0))</f>
        <v>M2</v>
      </c>
      <c r="E67" s="140">
        <f ca="1">IF($A67&lt;&gt;"Serviço",0,ROUND(SUMIF($F$9:$P$9,"&lt;&gt;",$F67:$P67),15-13*PO!$X$3))</f>
        <v>1680</v>
      </c>
      <c r="F67" s="360">
        <f ca="1">OFFSET(PO!$P$12,ROW($E67)-ROW(F$12),0)</f>
        <v>1680</v>
      </c>
      <c r="G67" s="360"/>
      <c r="H67" s="360"/>
      <c r="I67" s="360"/>
      <c r="J67" s="360"/>
      <c r="K67" s="360"/>
      <c r="L67" s="360"/>
      <c r="M67" s="360"/>
      <c r="N67" s="360"/>
      <c r="O67" s="360"/>
      <c r="U67" s="182"/>
    </row>
    <row r="68" spans="1:21" s="1" customFormat="1" x14ac:dyDescent="0.25">
      <c r="A68" s="110" t="str">
        <f ca="1">OFFSET(PO!J$12,ROW(A68)-ROW($A$12),0)</f>
        <v>Serviço</v>
      </c>
      <c r="B68" s="112" t="str">
        <f ca="1">IF($A68=0,"",OFFSET(PO!K$12,ROW(B68)-ROW(B$12),0))</f>
        <v>4.2.0.2.</v>
      </c>
      <c r="C68" s="109" t="str">
        <f ca="1">IF(OFFSET(PO!N$12,ROW(C68)-ROW(C$12),0)=0,"",OFFSET(PO!N$12,ROW(C68)-ROW(C$12),0))</f>
        <v>Pintura de ligação</v>
      </c>
      <c r="D68" s="111" t="str">
        <f ca="1">IF(OFFSET(PO!O$12,ROW(D68)-ROW(D$12),0)=0,"",OFFSET(PO!O$12,ROW(D68)-ROW(D$12),0))</f>
        <v>M2</v>
      </c>
      <c r="E68" s="140">
        <f ca="1">IF($A68&lt;&gt;"Serviço",0,ROUND(SUMIF($F$9:$P$9,"&lt;&gt;",$F68:$P68),15-13*PO!$X$3))</f>
        <v>1680</v>
      </c>
      <c r="F68" s="360">
        <f ca="1">OFFSET(PO!$P$12,ROW($E68)-ROW(F$12),0)</f>
        <v>1680</v>
      </c>
      <c r="G68" s="360"/>
      <c r="H68" s="360"/>
      <c r="I68" s="360"/>
      <c r="J68" s="360"/>
      <c r="K68" s="360"/>
      <c r="L68" s="360"/>
      <c r="M68" s="360"/>
      <c r="N68" s="360"/>
      <c r="O68" s="360"/>
      <c r="U68" s="182"/>
    </row>
    <row r="69" spans="1:21" s="1" customFormat="1" x14ac:dyDescent="0.25">
      <c r="A69" s="110" t="str">
        <f ca="1">OFFSET(PO!J$12,ROW(A69)-ROW($A$12),0)</f>
        <v>Serviço</v>
      </c>
      <c r="B69" s="112" t="str">
        <f ca="1">IF($A69=0,"",OFFSET(PO!K$12,ROW(B69)-ROW(B$12),0))</f>
        <v>4.2.0.3.</v>
      </c>
      <c r="C69" s="109" t="str">
        <f ca="1">IF(OFFSET(PO!N$12,ROW(C69)-ROW(C$12),0)=0,"",OFFSET(PO!N$12,ROW(C69)-ROW(C$12),0))</f>
        <v>Concreto asfáltico - faixa C - areia e brita comerciais (0,125 T/M2)</v>
      </c>
      <c r="D69" s="111" t="str">
        <f ca="1">IF(OFFSET(PO!O$12,ROW(D69)-ROW(D$12),0)=0,"",OFFSET(PO!O$12,ROW(D69)-ROW(D$12),0))</f>
        <v>T</v>
      </c>
      <c r="E69" s="140">
        <f ca="1">IF($A69&lt;&gt;"Serviço",0,ROUND(SUMIF($F$9:$P$9,"&lt;&gt;",$F69:$P69),15-13*PO!$X$3))</f>
        <v>210</v>
      </c>
      <c r="F69" s="360">
        <f ca="1">OFFSET(PO!$P$12,ROW($E69)-ROW(F$12),0)</f>
        <v>210</v>
      </c>
      <c r="G69" s="360"/>
      <c r="H69" s="360"/>
      <c r="I69" s="360"/>
      <c r="J69" s="360"/>
      <c r="K69" s="360"/>
      <c r="L69" s="360"/>
      <c r="M69" s="360"/>
      <c r="N69" s="360"/>
      <c r="O69" s="360"/>
      <c r="U69" s="182"/>
    </row>
    <row r="70" spans="1:21" s="1" customFormat="1" x14ac:dyDescent="0.25">
      <c r="A70" s="110" t="str">
        <f ca="1">OFFSET(PO!J$12,ROW(A70)-ROW($A$12),0)</f>
        <v>Serviço</v>
      </c>
      <c r="B70" s="112" t="str">
        <f ca="1">IF($A70=0,"",OFFSET(PO!K$12,ROW(B70)-ROW(B$12),0))</f>
        <v>4.2.0.4.</v>
      </c>
      <c r="C70" s="109" t="str">
        <f ca="1">IF(OFFSET(PO!N$12,ROW(C70)-ROW(C$12),0)=0,"",OFFSET(PO!N$12,ROW(C70)-ROW(C$12),0))</f>
        <v>AQUISIÇÃO DE EMULSÃO ASFÁLTICA EAI</v>
      </c>
      <c r="D70" s="111" t="str">
        <f ca="1">IF(OFFSET(PO!O$12,ROW(D70)-ROW(D$12),0)=0,"",OFFSET(PO!O$12,ROW(D70)-ROW(D$12),0))</f>
        <v>T</v>
      </c>
      <c r="E70" s="140">
        <f ca="1">IF($A70&lt;&gt;"Serviço",0,ROUND(SUMIF($F$9:$P$9,"&lt;&gt;",$F70:$P70),15-13*PO!$X$3))</f>
        <v>2.1800000000000002</v>
      </c>
      <c r="F70" s="360">
        <f ca="1">OFFSET(PO!$P$12,ROW($E70)-ROW(F$12),0)</f>
        <v>2.1839999999999997</v>
      </c>
      <c r="G70" s="360"/>
      <c r="H70" s="360"/>
      <c r="I70" s="360"/>
      <c r="J70" s="360"/>
      <c r="K70" s="360"/>
      <c r="L70" s="360"/>
      <c r="M70" s="360"/>
      <c r="N70" s="360"/>
      <c r="O70" s="360"/>
      <c r="U70" s="182"/>
    </row>
    <row r="71" spans="1:21" s="1" customFormat="1" x14ac:dyDescent="0.25">
      <c r="A71" s="110" t="str">
        <f ca="1">OFFSET(PO!J$12,ROW(A71)-ROW($A$12),0)</f>
        <v>Serviço</v>
      </c>
      <c r="B71" s="112" t="str">
        <f ca="1">IF($A71=0,"",OFFSET(PO!K$12,ROW(B71)-ROW(B$12),0))</f>
        <v>4.2.0.5.</v>
      </c>
      <c r="C71" s="109" t="str">
        <f ca="1">IF(OFFSET(PO!N$12,ROW(C71)-ROW(C$12),0)=0,"",OFFSET(PO!N$12,ROW(C71)-ROW(C$12),0))</f>
        <v>AQUISIÇÃO DE EMULSÃO ASFÁLTICA RR-1C</v>
      </c>
      <c r="D71" s="111" t="str">
        <f ca="1">IF(OFFSET(PO!O$12,ROW(D71)-ROW(D$12),0)=0,"",OFFSET(PO!O$12,ROW(D71)-ROW(D$12),0))</f>
        <v>T</v>
      </c>
      <c r="E71" s="140">
        <f ca="1">IF($A71&lt;&gt;"Serviço",0,ROUND(SUMIF($F$9:$P$9,"&lt;&gt;",$F71:$P71),15-13*PO!$X$3))</f>
        <v>1.51</v>
      </c>
      <c r="F71" s="360">
        <f ca="1">OFFSET(PO!$P$12,ROW($E71)-ROW(F$12),0)</f>
        <v>1.512</v>
      </c>
      <c r="G71" s="360"/>
      <c r="H71" s="360"/>
      <c r="I71" s="360"/>
      <c r="J71" s="360"/>
      <c r="K71" s="360"/>
      <c r="L71" s="360"/>
      <c r="M71" s="360"/>
      <c r="N71" s="360"/>
      <c r="O71" s="360"/>
      <c r="U71" s="182"/>
    </row>
    <row r="72" spans="1:21" s="1" customFormat="1" x14ac:dyDescent="0.25">
      <c r="A72" s="110" t="str">
        <f ca="1">OFFSET(PO!J$12,ROW(A72)-ROW($A$12),0)</f>
        <v>Serviço</v>
      </c>
      <c r="B72" s="112" t="str">
        <f ca="1">IF($A72=0,"",OFFSET(PO!K$12,ROW(B72)-ROW(B$12),0))</f>
        <v>4.2.0.6.</v>
      </c>
      <c r="C72" s="109" t="str">
        <f ca="1">IF(OFFSET(PO!N$12,ROW(C72)-ROW(C$12),0)=0,"",OFFSET(PO!N$12,ROW(C72)-ROW(C$12),0))</f>
        <v>AQUISIÇÃO DE LIGANTE ASFÁLTICA CAP 50/70</v>
      </c>
      <c r="D72" s="111" t="str">
        <f ca="1">IF(OFFSET(PO!O$12,ROW(D72)-ROW(D$12),0)=0,"",OFFSET(PO!O$12,ROW(D72)-ROW(D$12),0))</f>
        <v>T</v>
      </c>
      <c r="E72" s="140">
        <f ca="1">IF($A72&lt;&gt;"Serviço",0,ROUND(SUMIF($F$9:$P$9,"&lt;&gt;",$F72:$P72),15-13*PO!$X$3))</f>
        <v>18.309999999999999</v>
      </c>
      <c r="F72" s="360">
        <f ca="1">OFFSET(PO!$P$12,ROW($E72)-ROW(F$12),0)</f>
        <v>18.312000000000001</v>
      </c>
      <c r="G72" s="360"/>
      <c r="H72" s="360"/>
      <c r="I72" s="360"/>
      <c r="J72" s="360"/>
      <c r="K72" s="360"/>
      <c r="L72" s="360"/>
      <c r="M72" s="360"/>
      <c r="N72" s="360"/>
      <c r="O72" s="360"/>
      <c r="U72" s="182"/>
    </row>
    <row r="73" spans="1:21" s="1" customFormat="1" x14ac:dyDescent="0.25">
      <c r="A73" s="110" t="str">
        <f ca="1">OFFSET(PO!J$12,ROW(A73)-ROW($A$12),0)</f>
        <v>Nível 3</v>
      </c>
      <c r="B73" s="112" t="str">
        <f ca="1">IF($A73=0,"",OFFSET(PO!K$12,ROW(B73)-ROW(B$12),0))</f>
        <v>4.2.1.</v>
      </c>
      <c r="C73" s="109" t="str">
        <f ca="1">IF(OFFSET(PO!N$12,ROW(C73)-ROW(C$12),0)=0,"",OFFSET(PO!N$12,ROW(C73)-ROW(C$12),0))</f>
        <v>CARGA, TRANSPORTE E DESCARGA.</v>
      </c>
      <c r="D73" s="111" t="str">
        <f ca="1">IF(OFFSET(PO!O$12,ROW(D73)-ROW(D$12),0)=0,"",OFFSET(PO!O$12,ROW(D73)-ROW(D$12),0))</f>
        <v/>
      </c>
      <c r="E73" s="140">
        <f ca="1">IF($A73&lt;&gt;"Serviço",0,ROUND(SUMIF($F$9:$P$9,"&lt;&gt;",$F73:$P73),15-13*PO!$X$3))</f>
        <v>0</v>
      </c>
      <c r="F73" s="360">
        <f ca="1">OFFSET(PO!$P$12,ROW($E73)-ROW(F$12),0)</f>
        <v>0</v>
      </c>
      <c r="G73" s="360"/>
      <c r="H73" s="360"/>
      <c r="I73" s="360"/>
      <c r="J73" s="360"/>
      <c r="K73" s="360"/>
      <c r="L73" s="360"/>
      <c r="M73" s="360"/>
      <c r="N73" s="360"/>
      <c r="O73" s="360"/>
      <c r="U73" s="182"/>
    </row>
    <row r="74" spans="1:21" s="1" customFormat="1" ht="39.6" x14ac:dyDescent="0.25">
      <c r="A74" s="110" t="str">
        <f ca="1">OFFSET(PO!J$12,ROW(A74)-ROW($A$12),0)</f>
        <v>Serviço</v>
      </c>
      <c r="B74" s="112" t="str">
        <f ca="1">IF($A74=0,"",OFFSET(PO!K$12,ROW(B74)-ROW(B$12),0))</f>
        <v>4.2.1.1.</v>
      </c>
      <c r="C74" s="109" t="str">
        <f ca="1">IF(OFFSET(PO!N$12,ROW(C74)-ROW(C$12),0)=0,"",OFFSET(PO!N$12,ROW(C74)-ROW(C$12),0))</f>
        <v>Carga, manobra e descarga de mistura betuminosa a quente em caminhão basculante de 6 m³ - carga em usina de asfalto 100/140 t/h e descarga em vibroacabadora</v>
      </c>
      <c r="D74" s="111" t="str">
        <f ca="1">IF(OFFSET(PO!O$12,ROW(D74)-ROW(D$12),0)=0,"",OFFSET(PO!O$12,ROW(D74)-ROW(D$12),0))</f>
        <v>T</v>
      </c>
      <c r="E74" s="140">
        <f ca="1">IF($A74&lt;&gt;"Serviço",0,ROUND(SUMIF($F$9:$P$9,"&lt;&gt;",$F74:$P74),15-13*PO!$X$3))</f>
        <v>210</v>
      </c>
      <c r="F74" s="360">
        <f ca="1">OFFSET(PO!$P$12,ROW($E74)-ROW(F$12),0)</f>
        <v>210</v>
      </c>
      <c r="G74" s="360"/>
      <c r="H74" s="360"/>
      <c r="I74" s="360"/>
      <c r="J74" s="360"/>
      <c r="K74" s="360"/>
      <c r="L74" s="360"/>
      <c r="M74" s="360"/>
      <c r="N74" s="360"/>
      <c r="O74" s="360"/>
      <c r="U74" s="182"/>
    </row>
    <row r="75" spans="1:21" s="1" customFormat="1" ht="26.4" x14ac:dyDescent="0.25">
      <c r="A75" s="110" t="str">
        <f ca="1">OFFSET(PO!J$12,ROW(A75)-ROW($A$12),0)</f>
        <v>Serviço</v>
      </c>
      <c r="B75" s="112" t="str">
        <f ca="1">IF($A75=0,"",OFFSET(PO!K$12,ROW(B75)-ROW(B$12),0))</f>
        <v>4.2.1.2.</v>
      </c>
      <c r="C75" s="109" t="str">
        <f ca="1">IF(OFFSET(PO!N$12,ROW(C75)-ROW(C$12),0)=0,"",OFFSET(PO!N$12,ROW(C75)-ROW(C$12),0))</f>
        <v>Transporte de mistura betuminosa a quente com caminhão com caçamba térmica de 6 m³ - rodovia pavimentada (20KM)</v>
      </c>
      <c r="D75" s="111" t="str">
        <f ca="1">IF(OFFSET(PO!O$12,ROW(D75)-ROW(D$12),0)=0,"",OFFSET(PO!O$12,ROW(D75)-ROW(D$12),0))</f>
        <v>T</v>
      </c>
      <c r="E75" s="140">
        <f ca="1">IF($A75&lt;&gt;"Serviço",0,ROUND(SUMIF($F$9:$P$9,"&lt;&gt;",$F75:$P75),15-13*PO!$X$3))</f>
        <v>6300</v>
      </c>
      <c r="F75" s="360">
        <f ca="1">OFFSET(PO!$P$12,ROW($E75)-ROW(F$12),0)</f>
        <v>6300</v>
      </c>
      <c r="G75" s="360"/>
      <c r="H75" s="360"/>
      <c r="I75" s="360"/>
      <c r="J75" s="360"/>
      <c r="K75" s="360"/>
      <c r="L75" s="360"/>
      <c r="M75" s="360"/>
      <c r="N75" s="360"/>
      <c r="O75" s="360"/>
      <c r="U75" s="182"/>
    </row>
    <row r="76" spans="1:21" s="1" customFormat="1" ht="39.6" x14ac:dyDescent="0.25">
      <c r="A76" s="110" t="str">
        <f ca="1">OFFSET(PO!J$12,ROW(A76)-ROW($A$12),0)</f>
        <v>Serviço</v>
      </c>
      <c r="B76" s="112" t="str">
        <f ca="1">IF($A76=0,"",OFFSET(PO!K$12,ROW(B76)-ROW(B$12),0))</f>
        <v>4.2.1.3.</v>
      </c>
      <c r="C76" s="109" t="str">
        <f ca="1">IF(OFFSET(PO!N$12,ROW(C76)-ROW(C$12),0)=0,"",OFFSET(PO!N$12,ROW(C76)-ROW(C$12),0))</f>
        <v>TRANSPORTE COM CAMINHÃO TANQUE DE TRANSPORTE DE MATERIAL ASFÁLTICO DE 30000 L, EM VIA URBANA PAVIMENTADA, DMT ATÉ 30KM (UNIDADE: TXKM). AF_07/2020</v>
      </c>
      <c r="D76" s="111" t="str">
        <f ca="1">IF(OFFSET(PO!O$12,ROW(D76)-ROW(D$12),0)=0,"",OFFSET(PO!O$12,ROW(D76)-ROW(D$12),0))</f>
        <v>TXKM</v>
      </c>
      <c r="E76" s="140">
        <f ca="1">IF($A76&lt;&gt;"Serviço",0,ROUND(SUMIF($F$9:$P$9,"&lt;&gt;",$F76:$P76),15-13*PO!$X$3))</f>
        <v>362.88</v>
      </c>
      <c r="F76" s="360">
        <f ca="1">OFFSET(PO!$P$12,ROW($E76)-ROW(F$12),0)</f>
        <v>362.88</v>
      </c>
      <c r="G76" s="360"/>
      <c r="H76" s="360"/>
      <c r="I76" s="360"/>
      <c r="J76" s="360"/>
      <c r="K76" s="360"/>
      <c r="L76" s="360"/>
      <c r="M76" s="360"/>
      <c r="N76" s="360"/>
      <c r="O76" s="360"/>
      <c r="U76" s="182"/>
    </row>
    <row r="77" spans="1:21" s="1" customFormat="1" x14ac:dyDescent="0.25">
      <c r="A77" s="110" t="str">
        <f ca="1">OFFSET(PO!J$12,ROW(A77)-ROW($A$12),0)</f>
        <v>Nível 2</v>
      </c>
      <c r="B77" s="112" t="str">
        <f ca="1">IF($A77=0,"",OFFSET(PO!K$12,ROW(B77)-ROW(B$12),0))</f>
        <v>4.3.</v>
      </c>
      <c r="C77" s="109" t="str">
        <f ca="1">IF(OFFSET(PO!N$12,ROW(C77)-ROW(C$12),0)=0,"",OFFSET(PO!N$12,ROW(C77)-ROW(C$12),0))</f>
        <v>SINALIZAÇÃO</v>
      </c>
      <c r="D77" s="111" t="str">
        <f ca="1">IF(OFFSET(PO!O$12,ROW(D77)-ROW(D$12),0)=0,"",OFFSET(PO!O$12,ROW(D77)-ROW(D$12),0))</f>
        <v/>
      </c>
      <c r="E77" s="140">
        <f ca="1">IF($A77&lt;&gt;"Serviço",0,ROUND(SUMIF($F$9:$P$9,"&lt;&gt;",$F77:$P77),15-13*PO!$X$3))</f>
        <v>0</v>
      </c>
      <c r="F77" s="360">
        <f ca="1">OFFSET(PO!$P$12,ROW($E77)-ROW(F$12),0)</f>
        <v>0</v>
      </c>
      <c r="G77" s="360"/>
      <c r="H77" s="360"/>
      <c r="I77" s="360"/>
      <c r="J77" s="360"/>
      <c r="K77" s="360"/>
      <c r="L77" s="360"/>
      <c r="M77" s="360"/>
      <c r="N77" s="360"/>
      <c r="O77" s="360"/>
      <c r="U77" s="182"/>
    </row>
    <row r="78" spans="1:21" s="1" customFormat="1" ht="52.8" x14ac:dyDescent="0.25">
      <c r="A78" s="110" t="str">
        <f ca="1">OFFSET(PO!J$12,ROW(A78)-ROW($A$12),0)</f>
        <v>Serviço</v>
      </c>
      <c r="B78" s="112" t="str">
        <f ca="1">IF($A78=0,"",OFFSET(PO!K$12,ROW(B78)-ROW(B$12),0))</f>
        <v>4.3.0.1.</v>
      </c>
      <c r="C78" s="109" t="str">
        <f ca="1">IF(OFFSET(PO!N$12,ROW(C78)-ROW(C$12),0)=0,"",OFFSET(PO!N$12,ROW(C78)-ROW(C$12),0))</f>
        <v>PINTURA DE EIXO VIÁRIO SOBRE ASFALTO COM TINTA RETRORREFLETIVA A BASE DE RESINA ACRÍLICA COM MICROESFERAS DE VIDRO, APLICAÇÃO MECÂNICA COM DEMARCADORA AUTOPROPELIDA. AF_05/2021</v>
      </c>
      <c r="D78" s="111" t="str">
        <f ca="1">IF(OFFSET(PO!O$12,ROW(D78)-ROW(D$12),0)=0,"",OFFSET(PO!O$12,ROW(D78)-ROW(D$12),0))</f>
        <v>M</v>
      </c>
      <c r="E78" s="140">
        <f ca="1">IF($A78&lt;&gt;"Serviço",0,ROUND(SUMIF($F$9:$P$9,"&lt;&gt;",$F78:$P78),15-13*PO!$X$3))</f>
        <v>720</v>
      </c>
      <c r="F78" s="360">
        <f ca="1">OFFSET(PO!$P$12,ROW($E78)-ROW(F$12),0)</f>
        <v>720</v>
      </c>
      <c r="G78" s="360"/>
      <c r="H78" s="360"/>
      <c r="I78" s="360"/>
      <c r="J78" s="360"/>
      <c r="K78" s="360"/>
      <c r="L78" s="360"/>
      <c r="M78" s="360"/>
      <c r="N78" s="360"/>
      <c r="O78" s="360"/>
      <c r="U78" s="182"/>
    </row>
    <row r="79" spans="1:21" s="1" customFormat="1" ht="39.6" x14ac:dyDescent="0.25">
      <c r="A79" s="110" t="str">
        <f ca="1">OFFSET(PO!J$12,ROW(A79)-ROW($A$12),0)</f>
        <v>Serviço</v>
      </c>
      <c r="B79" s="112" t="str">
        <f ca="1">IF($A79=0,"",OFFSET(PO!K$12,ROW(B79)-ROW(B$12),0))</f>
        <v>4.3.0.2.</v>
      </c>
      <c r="C79" s="109" t="str">
        <f ca="1">IF(OFFSET(PO!N$12,ROW(C79)-ROW(C$12),0)=0,"",OFFSET(PO!N$12,ROW(C79)-ROW(C$12),0))</f>
        <v xml:space="preserve">FORNECIMENTO E INSTALAÇÃO DE PLACAS SEMIREFLETIVAS DE REGULAMENTAÇÃO OU ADVERTÊNCIA COM SUPORTE METÁLICO </v>
      </c>
      <c r="D79" s="111" t="str">
        <f ca="1">IF(OFFSET(PO!O$12,ROW(D79)-ROW(D$12),0)=0,"",OFFSET(PO!O$12,ROW(D79)-ROW(D$12),0))</f>
        <v xml:space="preserve">UN </v>
      </c>
      <c r="E79" s="140">
        <f ca="1">IF($A79&lt;&gt;"Serviço",0,ROUND(SUMIF($F$9:$P$9,"&lt;&gt;",$F79:$P79),15-13*PO!$X$3))</f>
        <v>1</v>
      </c>
      <c r="F79" s="360">
        <f ca="1">OFFSET(PO!$P$12,ROW($E79)-ROW(F$12),0)</f>
        <v>1</v>
      </c>
      <c r="G79" s="360"/>
      <c r="H79" s="360"/>
      <c r="I79" s="360"/>
      <c r="J79" s="360"/>
      <c r="K79" s="360"/>
      <c r="L79" s="360"/>
      <c r="M79" s="360"/>
      <c r="N79" s="360"/>
      <c r="O79" s="360"/>
      <c r="U79" s="182"/>
    </row>
    <row r="80" spans="1:21" s="1" customFormat="1" x14ac:dyDescent="0.25">
      <c r="A80" s="110" t="str">
        <f ca="1">OFFSET(PO!J$12,ROW(A80)-ROW($A$12),0)</f>
        <v>Meta</v>
      </c>
      <c r="B80" s="112" t="str">
        <f ca="1">IF($A80=0,"",OFFSET(PO!K$12,ROW(B80)-ROW(B$12),0))</f>
        <v>5.</v>
      </c>
      <c r="C80" s="109" t="str">
        <f ca="1">IF(OFFSET(PO!N$12,ROW(C80)-ROW(C$12),0)=0,"",OFFSET(PO!N$12,ROW(C80)-ROW(C$12),0))</f>
        <v>TRECHO 4</v>
      </c>
      <c r="D80" s="111" t="str">
        <f ca="1">IF(OFFSET(PO!O$12,ROW(D80)-ROW(D$12),0)=0,"",OFFSET(PO!O$12,ROW(D80)-ROW(D$12),0))</f>
        <v/>
      </c>
      <c r="E80" s="140">
        <f ca="1">IF($A80&lt;&gt;"Serviço",0,ROUND(SUMIF($F$9:$P$9,"&lt;&gt;",$F80:$P80),15-13*PO!$X$3))</f>
        <v>0</v>
      </c>
      <c r="F80" s="360">
        <f ca="1">OFFSET(PO!$P$12,ROW($E80)-ROW(F$12),0)</f>
        <v>0</v>
      </c>
      <c r="G80" s="360"/>
      <c r="H80" s="360"/>
      <c r="I80" s="360"/>
      <c r="J80" s="360"/>
      <c r="K80" s="360"/>
      <c r="L80" s="360"/>
      <c r="M80" s="360"/>
      <c r="N80" s="360"/>
      <c r="O80" s="360"/>
      <c r="U80" s="182"/>
    </row>
    <row r="81" spans="1:21" s="1" customFormat="1" x14ac:dyDescent="0.25">
      <c r="A81" s="110" t="str">
        <f ca="1">OFFSET(PO!J$12,ROW(A81)-ROW($A$12),0)</f>
        <v>Nível 2</v>
      </c>
      <c r="B81" s="112" t="str">
        <f ca="1">IF($A81=0,"",OFFSET(PO!K$12,ROW(B81)-ROW(B$12),0))</f>
        <v>5.1.</v>
      </c>
      <c r="C81" s="109" t="str">
        <f ca="1">IF(OFFSET(PO!N$12,ROW(C81)-ROW(C$12),0)=0,"",OFFSET(PO!N$12,ROW(C81)-ROW(C$12),0))</f>
        <v>MOVIMENTAÇÃO DE TERRA E EXECUÇÃO DA BASE</v>
      </c>
      <c r="D81" s="111" t="str">
        <f ca="1">IF(OFFSET(PO!O$12,ROW(D81)-ROW(D$12),0)=0,"",OFFSET(PO!O$12,ROW(D81)-ROW(D$12),0))</f>
        <v/>
      </c>
      <c r="E81" s="140">
        <f ca="1">IF($A81&lt;&gt;"Serviço",0,ROUND(SUMIF($F$9:$P$9,"&lt;&gt;",$F81:$P81),15-13*PO!$X$3))</f>
        <v>0</v>
      </c>
      <c r="F81" s="360">
        <f ca="1">OFFSET(PO!$P$12,ROW($E81)-ROW(F$12),0)</f>
        <v>0</v>
      </c>
      <c r="G81" s="360"/>
      <c r="H81" s="360"/>
      <c r="I81" s="360"/>
      <c r="J81" s="360"/>
      <c r="K81" s="360"/>
      <c r="L81" s="360"/>
      <c r="M81" s="360"/>
      <c r="N81" s="360"/>
      <c r="O81" s="360"/>
      <c r="U81" s="182"/>
    </row>
    <row r="82" spans="1:21" s="1" customFormat="1" x14ac:dyDescent="0.25">
      <c r="A82" s="110" t="str">
        <f ca="1">OFFSET(PO!J$12,ROW(A82)-ROW($A$12),0)</f>
        <v>Serviço</v>
      </c>
      <c r="B82" s="112" t="str">
        <f ca="1">IF($A82=0,"",OFFSET(PO!K$12,ROW(B82)-ROW(B$12),0))</f>
        <v>5.1.0.1.</v>
      </c>
      <c r="C82" s="109" t="str">
        <f ca="1">IF(OFFSET(PO!N$12,ROW(C82)-ROW(C$12),0)=0,"",OFFSET(PO!N$12,ROW(C82)-ROW(C$12),0))</f>
        <v>SINALIZAÇÃO DE TRANSITO NOTURNA</v>
      </c>
      <c r="D82" s="111" t="str">
        <f ca="1">IF(OFFSET(PO!O$12,ROW(D82)-ROW(D$12),0)=0,"",OFFSET(PO!O$12,ROW(D82)-ROW(D$12),0))</f>
        <v xml:space="preserve">M     </v>
      </c>
      <c r="E82" s="140">
        <f ca="1">IF($A82&lt;&gt;"Serviço",0,ROUND(SUMIF($F$9:$P$9,"&lt;&gt;",$F82:$P82),15-13*PO!$X$3))</f>
        <v>450</v>
      </c>
      <c r="F82" s="360">
        <f ca="1">OFFSET(PO!$P$12,ROW($E82)-ROW(F$12),0)</f>
        <v>450</v>
      </c>
      <c r="G82" s="360"/>
      <c r="H82" s="360"/>
      <c r="I82" s="360"/>
      <c r="J82" s="360"/>
      <c r="K82" s="360"/>
      <c r="L82" s="360"/>
      <c r="M82" s="360"/>
      <c r="N82" s="360"/>
      <c r="O82" s="360"/>
      <c r="U82" s="182"/>
    </row>
    <row r="83" spans="1:21" s="1" customFormat="1" ht="39.6" x14ac:dyDescent="0.25">
      <c r="A83" s="110" t="str">
        <f ca="1">OFFSET(PO!J$12,ROW(A83)-ROW($A$12),0)</f>
        <v>Serviço</v>
      </c>
      <c r="B83" s="112" t="str">
        <f ca="1">IF($A83=0,"",OFFSET(PO!K$12,ROW(B83)-ROW(B$12),0))</f>
        <v>5.1.0.2.</v>
      </c>
      <c r="C83" s="109" t="str">
        <f ca="1">IF(OFFSET(PO!N$12,ROW(C83)-ROW(C$12),0)=0,"",OFFSET(PO!N$12,ROW(C83)-ROW(C$12),0))</f>
        <v>Escavação, carga e transporte de material de 1ª categoria - DMT de 1.000 a 1.200 m - caminho de serviço em leito natural - com carregadeira e caminhão basculante de 14 m³</v>
      </c>
      <c r="D83" s="111" t="str">
        <f ca="1">IF(OFFSET(PO!O$12,ROW(D83)-ROW(D$12),0)=0,"",OFFSET(PO!O$12,ROW(D83)-ROW(D$12),0))</f>
        <v>M3</v>
      </c>
      <c r="E83" s="140">
        <f ca="1">IF($A83&lt;&gt;"Serviço",0,ROUND(SUMIF($F$9:$P$9,"&lt;&gt;",$F83:$P83),15-13*PO!$X$3))</f>
        <v>1575</v>
      </c>
      <c r="F83" s="360">
        <f ca="1">OFFSET(PO!$P$12,ROW($E83)-ROW(F$12),0)</f>
        <v>1575</v>
      </c>
      <c r="G83" s="360"/>
      <c r="H83" s="360"/>
      <c r="I83" s="360"/>
      <c r="J83" s="360"/>
      <c r="K83" s="360"/>
      <c r="L83" s="360"/>
      <c r="M83" s="360"/>
      <c r="N83" s="360"/>
      <c r="O83" s="360"/>
      <c r="U83" s="182"/>
    </row>
    <row r="84" spans="1:21" s="1" customFormat="1" x14ac:dyDescent="0.25">
      <c r="A84" s="110" t="str">
        <f ca="1">OFFSET(PO!J$12,ROW(A84)-ROW($A$12),0)</f>
        <v>Serviço</v>
      </c>
      <c r="B84" s="112" t="str">
        <f ca="1">IF($A84=0,"",OFFSET(PO!K$12,ROW(B84)-ROW(B$12),0))</f>
        <v>5.1.0.3.</v>
      </c>
      <c r="C84" s="109" t="str">
        <f ca="1">IF(OFFSET(PO!N$12,ROW(C84)-ROW(C$12),0)=0,"",OFFSET(PO!N$12,ROW(C84)-ROW(C$12),0))</f>
        <v>Reforço do subleito com material de jazida</v>
      </c>
      <c r="D84" s="111" t="str">
        <f ca="1">IF(OFFSET(PO!O$12,ROW(D84)-ROW(D$12),0)=0,"",OFFSET(PO!O$12,ROW(D84)-ROW(D$12),0))</f>
        <v>M3</v>
      </c>
      <c r="E84" s="140">
        <f ca="1">IF($A84&lt;&gt;"Serviço",0,ROUND(SUMIF($F$9:$P$9,"&lt;&gt;",$F84:$P84),15-13*PO!$X$3))</f>
        <v>787.5</v>
      </c>
      <c r="F84" s="360">
        <f ca="1">OFFSET(PO!$P$12,ROW($E84)-ROW(F$12),0)</f>
        <v>787.5</v>
      </c>
      <c r="G84" s="360"/>
      <c r="H84" s="360"/>
      <c r="I84" s="360"/>
      <c r="J84" s="360"/>
      <c r="K84" s="360"/>
      <c r="L84" s="360"/>
      <c r="M84" s="360"/>
      <c r="N84" s="360"/>
      <c r="O84" s="360"/>
      <c r="U84" s="182"/>
    </row>
    <row r="85" spans="1:21" s="1" customFormat="1" x14ac:dyDescent="0.25">
      <c r="A85" s="110" t="str">
        <f ca="1">OFFSET(PO!J$12,ROW(A85)-ROW($A$12),0)</f>
        <v>Serviço</v>
      </c>
      <c r="B85" s="112" t="str">
        <f ca="1">IF($A85=0,"",OFFSET(PO!K$12,ROW(B85)-ROW(B$12),0))</f>
        <v>5.1.0.4.</v>
      </c>
      <c r="C85" s="109" t="str">
        <f ca="1">IF(OFFSET(PO!N$12,ROW(C85)-ROW(C$12),0)=0,"",OFFSET(PO!N$12,ROW(C85)-ROW(C$12),0))</f>
        <v>Base ou sub-base de brita graduada com brita comercial</v>
      </c>
      <c r="D85" s="111" t="str">
        <f ca="1">IF(OFFSET(PO!O$12,ROW(D85)-ROW(D$12),0)=0,"",OFFSET(PO!O$12,ROW(D85)-ROW(D$12),0))</f>
        <v>M3</v>
      </c>
      <c r="E85" s="140">
        <f ca="1">IF($A85&lt;&gt;"Serviço",0,ROUND(SUMIF($F$9:$P$9,"&lt;&gt;",$F85:$P85),15-13*PO!$X$3))</f>
        <v>787.5</v>
      </c>
      <c r="F85" s="360">
        <f ca="1">OFFSET(PO!$P$12,ROW($E85)-ROW(F$12),0)</f>
        <v>787.5</v>
      </c>
      <c r="G85" s="360"/>
      <c r="H85" s="360"/>
      <c r="I85" s="360"/>
      <c r="J85" s="360"/>
      <c r="K85" s="360"/>
      <c r="L85" s="360"/>
      <c r="M85" s="360"/>
      <c r="N85" s="360"/>
      <c r="O85" s="360"/>
      <c r="U85" s="182"/>
    </row>
    <row r="86" spans="1:21" s="1" customFormat="1" ht="26.4" x14ac:dyDescent="0.25">
      <c r="A86" s="110" t="str">
        <f ca="1">OFFSET(PO!J$12,ROW(A86)-ROW($A$12),0)</f>
        <v>Serviço</v>
      </c>
      <c r="B86" s="112" t="str">
        <f ca="1">IF($A86=0,"",OFFSET(PO!K$12,ROW(B86)-ROW(B$12),0))</f>
        <v>5.1.0.5.</v>
      </c>
      <c r="C86" s="109" t="str">
        <f ca="1">IF(OFFSET(PO!N$12,ROW(C86)-ROW(C$12),0)=0,"",OFFSET(PO!N$12,ROW(C86)-ROW(C$12),0))</f>
        <v>Transporte com caminhão basculante de 10 m³ - rodovia pavimentada (30km)</v>
      </c>
      <c r="D86" s="111" t="str">
        <f ca="1">IF(OFFSET(PO!O$12,ROW(D86)-ROW(D$12),0)=0,"",OFFSET(PO!O$12,ROW(D86)-ROW(D$12),0))</f>
        <v>TKM</v>
      </c>
      <c r="E86" s="140">
        <f ca="1">IF($A86&lt;&gt;"Serviço",0,ROUND(SUMIF($F$9:$P$9,"&lt;&gt;",$F86:$P86),15-13*PO!$X$3))</f>
        <v>85050</v>
      </c>
      <c r="F86" s="360">
        <f ca="1">OFFSET(PO!$P$12,ROW($E86)-ROW(F$12),0)</f>
        <v>85050</v>
      </c>
      <c r="G86" s="360"/>
      <c r="H86" s="360"/>
      <c r="I86" s="360"/>
      <c r="J86" s="360"/>
      <c r="K86" s="360"/>
      <c r="L86" s="360"/>
      <c r="M86" s="360"/>
      <c r="N86" s="360"/>
      <c r="O86" s="360"/>
      <c r="U86" s="182"/>
    </row>
    <row r="87" spans="1:21" s="1" customFormat="1" x14ac:dyDescent="0.25">
      <c r="A87" s="110" t="str">
        <f ca="1">OFFSET(PO!J$12,ROW(A87)-ROW($A$12),0)</f>
        <v>Nível 2</v>
      </c>
      <c r="B87" s="112" t="str">
        <f ca="1">IF($A87=0,"",OFFSET(PO!K$12,ROW(B87)-ROW(B$12),0))</f>
        <v>5.2.</v>
      </c>
      <c r="C87" s="109" t="str">
        <f ca="1">IF(OFFSET(PO!N$12,ROW(C87)-ROW(C$12),0)=0,"",OFFSET(PO!N$12,ROW(C87)-ROW(C$12),0))</f>
        <v>PAVIMENTAÇÃO EM CBUQ</v>
      </c>
      <c r="D87" s="111" t="str">
        <f ca="1">IF(OFFSET(PO!O$12,ROW(D87)-ROW(D$12),0)=0,"",OFFSET(PO!O$12,ROW(D87)-ROW(D$12),0))</f>
        <v/>
      </c>
      <c r="E87" s="140">
        <f ca="1">IF($A87&lt;&gt;"Serviço",0,ROUND(SUMIF($F$9:$P$9,"&lt;&gt;",$F87:$P87),15-13*PO!$X$3))</f>
        <v>0</v>
      </c>
      <c r="F87" s="360">
        <f ca="1">OFFSET(PO!$P$12,ROW($E87)-ROW(F$12),0)</f>
        <v>0</v>
      </c>
      <c r="G87" s="360"/>
      <c r="H87" s="360"/>
      <c r="I87" s="360"/>
      <c r="J87" s="360"/>
      <c r="K87" s="360"/>
      <c r="L87" s="360"/>
      <c r="M87" s="360"/>
      <c r="N87" s="360"/>
      <c r="O87" s="360"/>
      <c r="U87" s="182"/>
    </row>
    <row r="88" spans="1:21" s="1" customFormat="1" x14ac:dyDescent="0.25">
      <c r="A88" s="110" t="str">
        <f ca="1">OFFSET(PO!J$12,ROW(A88)-ROW($A$12),0)</f>
        <v>Serviço</v>
      </c>
      <c r="B88" s="112" t="str">
        <f ca="1">IF($A88=0,"",OFFSET(PO!K$12,ROW(B88)-ROW(B$12),0))</f>
        <v>5.2.0.1.</v>
      </c>
      <c r="C88" s="109" t="str">
        <f ca="1">IF(OFFSET(PO!N$12,ROW(C88)-ROW(C$12),0)=0,"",OFFSET(PO!N$12,ROW(C88)-ROW(C$12),0))</f>
        <v>Imprimação com emulsão asfáltica</v>
      </c>
      <c r="D88" s="111" t="str">
        <f ca="1">IF(OFFSET(PO!O$12,ROW(D88)-ROW(D$12),0)=0,"",OFFSET(PO!O$12,ROW(D88)-ROW(D$12),0))</f>
        <v>M2</v>
      </c>
      <c r="E88" s="140">
        <f ca="1">IF($A88&lt;&gt;"Serviço",0,ROUND(SUMIF($F$9:$P$9,"&lt;&gt;",$F88:$P88),15-13*PO!$X$3))</f>
        <v>3150</v>
      </c>
      <c r="F88" s="360">
        <f ca="1">OFFSET(PO!$P$12,ROW($E88)-ROW(F$12),0)</f>
        <v>3150</v>
      </c>
      <c r="G88" s="360"/>
      <c r="H88" s="360"/>
      <c r="I88" s="360"/>
      <c r="J88" s="360"/>
      <c r="K88" s="360"/>
      <c r="L88" s="360"/>
      <c r="M88" s="360"/>
      <c r="N88" s="360"/>
      <c r="O88" s="360"/>
      <c r="U88" s="182"/>
    </row>
    <row r="89" spans="1:21" s="1" customFormat="1" x14ac:dyDescent="0.25">
      <c r="A89" s="110" t="str">
        <f ca="1">OFFSET(PO!J$12,ROW(A89)-ROW($A$12),0)</f>
        <v>Serviço</v>
      </c>
      <c r="B89" s="112" t="str">
        <f ca="1">IF($A89=0,"",OFFSET(PO!K$12,ROW(B89)-ROW(B$12),0))</f>
        <v>5.2.0.2.</v>
      </c>
      <c r="C89" s="109" t="str">
        <f ca="1">IF(OFFSET(PO!N$12,ROW(C89)-ROW(C$12),0)=0,"",OFFSET(PO!N$12,ROW(C89)-ROW(C$12),0))</f>
        <v>Pintura de ligação</v>
      </c>
      <c r="D89" s="111" t="str">
        <f ca="1">IF(OFFSET(PO!O$12,ROW(D89)-ROW(D$12),0)=0,"",OFFSET(PO!O$12,ROW(D89)-ROW(D$12),0))</f>
        <v>M2</v>
      </c>
      <c r="E89" s="140">
        <f ca="1">IF($A89&lt;&gt;"Serviço",0,ROUND(SUMIF($F$9:$P$9,"&lt;&gt;",$F89:$P89),15-13*PO!$X$3))</f>
        <v>3150</v>
      </c>
      <c r="F89" s="360">
        <f ca="1">OFFSET(PO!$P$12,ROW($E89)-ROW(F$12),0)</f>
        <v>3150</v>
      </c>
      <c r="G89" s="360"/>
      <c r="H89" s="360"/>
      <c r="I89" s="360"/>
      <c r="J89" s="360"/>
      <c r="K89" s="360"/>
      <c r="L89" s="360"/>
      <c r="M89" s="360"/>
      <c r="N89" s="360"/>
      <c r="O89" s="360"/>
      <c r="U89" s="182"/>
    </row>
    <row r="90" spans="1:21" s="1" customFormat="1" x14ac:dyDescent="0.25">
      <c r="A90" s="110" t="str">
        <f ca="1">OFFSET(PO!J$12,ROW(A90)-ROW($A$12),0)</f>
        <v>Serviço</v>
      </c>
      <c r="B90" s="112" t="str">
        <f ca="1">IF($A90=0,"",OFFSET(PO!K$12,ROW(B90)-ROW(B$12),0))</f>
        <v>5.2.0.3.</v>
      </c>
      <c r="C90" s="109" t="str">
        <f ca="1">IF(OFFSET(PO!N$12,ROW(C90)-ROW(C$12),0)=0,"",OFFSET(PO!N$12,ROW(C90)-ROW(C$12),0))</f>
        <v>Concreto asfáltico - faixa C - areia e brita comerciais (0,125 T/M2)</v>
      </c>
      <c r="D90" s="111" t="str">
        <f ca="1">IF(OFFSET(PO!O$12,ROW(D90)-ROW(D$12),0)=0,"",OFFSET(PO!O$12,ROW(D90)-ROW(D$12),0))</f>
        <v>T</v>
      </c>
      <c r="E90" s="140">
        <f ca="1">IF($A90&lt;&gt;"Serviço",0,ROUND(SUMIF($F$9:$P$9,"&lt;&gt;",$F90:$P90),15-13*PO!$X$3))</f>
        <v>393.75</v>
      </c>
      <c r="F90" s="360">
        <f ca="1">OFFSET(PO!$P$12,ROW($E90)-ROW(F$12),0)</f>
        <v>393.75</v>
      </c>
      <c r="G90" s="360"/>
      <c r="H90" s="360"/>
      <c r="I90" s="360"/>
      <c r="J90" s="360"/>
      <c r="K90" s="360"/>
      <c r="L90" s="360"/>
      <c r="M90" s="360"/>
      <c r="N90" s="360"/>
      <c r="O90" s="360"/>
      <c r="U90" s="182"/>
    </row>
    <row r="91" spans="1:21" s="1" customFormat="1" x14ac:dyDescent="0.25">
      <c r="A91" s="110" t="str">
        <f ca="1">OFFSET(PO!J$12,ROW(A91)-ROW($A$12),0)</f>
        <v>Serviço</v>
      </c>
      <c r="B91" s="112" t="str">
        <f ca="1">IF($A91=0,"",OFFSET(PO!K$12,ROW(B91)-ROW(B$12),0))</f>
        <v>5.2.0.4.</v>
      </c>
      <c r="C91" s="109" t="str">
        <f ca="1">IF(OFFSET(PO!N$12,ROW(C91)-ROW(C$12),0)=0,"",OFFSET(PO!N$12,ROW(C91)-ROW(C$12),0))</f>
        <v>AQUISIÇÃO DE EMULSÃO ASFÁLTICA EAI</v>
      </c>
      <c r="D91" s="111" t="str">
        <f ca="1">IF(OFFSET(PO!O$12,ROW(D91)-ROW(D$12),0)=0,"",OFFSET(PO!O$12,ROW(D91)-ROW(D$12),0))</f>
        <v>T</v>
      </c>
      <c r="E91" s="140">
        <f ca="1">IF($A91&lt;&gt;"Serviço",0,ROUND(SUMIF($F$9:$P$9,"&lt;&gt;",$F91:$P91),15-13*PO!$X$3))</f>
        <v>4.0999999999999996</v>
      </c>
      <c r="F91" s="360">
        <f ca="1">OFFSET(PO!$P$12,ROW($E91)-ROW(F$12),0)</f>
        <v>4.0949999999999998</v>
      </c>
      <c r="G91" s="360"/>
      <c r="H91" s="360"/>
      <c r="I91" s="360"/>
      <c r="J91" s="360"/>
      <c r="K91" s="360"/>
      <c r="L91" s="360"/>
      <c r="M91" s="360"/>
      <c r="N91" s="360"/>
      <c r="O91" s="360"/>
      <c r="U91" s="182"/>
    </row>
    <row r="92" spans="1:21" s="1" customFormat="1" x14ac:dyDescent="0.25">
      <c r="A92" s="110" t="str">
        <f ca="1">OFFSET(PO!J$12,ROW(A92)-ROW($A$12),0)</f>
        <v>Serviço</v>
      </c>
      <c r="B92" s="112" t="str">
        <f ca="1">IF($A92=0,"",OFFSET(PO!K$12,ROW(B92)-ROW(B$12),0))</f>
        <v>5.2.0.5.</v>
      </c>
      <c r="C92" s="109" t="str">
        <f ca="1">IF(OFFSET(PO!N$12,ROW(C92)-ROW(C$12),0)=0,"",OFFSET(PO!N$12,ROW(C92)-ROW(C$12),0))</f>
        <v>AQUISIÇÃO DE EMULSÃO ASFÁLTICA RR-1C</v>
      </c>
      <c r="D92" s="111" t="str">
        <f ca="1">IF(OFFSET(PO!O$12,ROW(D92)-ROW(D$12),0)=0,"",OFFSET(PO!O$12,ROW(D92)-ROW(D$12),0))</f>
        <v>T</v>
      </c>
      <c r="E92" s="140">
        <f ca="1">IF($A92&lt;&gt;"Serviço",0,ROUND(SUMIF($F$9:$P$9,"&lt;&gt;",$F92:$P92),15-13*PO!$X$3))</f>
        <v>2.84</v>
      </c>
      <c r="F92" s="360">
        <f ca="1">OFFSET(PO!$P$12,ROW($E92)-ROW(F$12),0)</f>
        <v>2.835</v>
      </c>
      <c r="G92" s="360"/>
      <c r="H92" s="360"/>
      <c r="I92" s="360"/>
      <c r="J92" s="360"/>
      <c r="K92" s="360"/>
      <c r="L92" s="360"/>
      <c r="M92" s="360"/>
      <c r="N92" s="360"/>
      <c r="O92" s="360"/>
      <c r="U92" s="182"/>
    </row>
    <row r="93" spans="1:21" s="1" customFormat="1" x14ac:dyDescent="0.25">
      <c r="A93" s="110" t="str">
        <f ca="1">OFFSET(PO!J$12,ROW(A93)-ROW($A$12),0)</f>
        <v>Serviço</v>
      </c>
      <c r="B93" s="112" t="str">
        <f ca="1">IF($A93=0,"",OFFSET(PO!K$12,ROW(B93)-ROW(B$12),0))</f>
        <v>5.2.0.6.</v>
      </c>
      <c r="C93" s="109" t="str">
        <f ca="1">IF(OFFSET(PO!N$12,ROW(C93)-ROW(C$12),0)=0,"",OFFSET(PO!N$12,ROW(C93)-ROW(C$12),0))</f>
        <v>AQUISIÇÃO DE LIGANTE ASFÁLTICA CAP 50/70</v>
      </c>
      <c r="D93" s="111" t="str">
        <f ca="1">IF(OFFSET(PO!O$12,ROW(D93)-ROW(D$12),0)=0,"",OFFSET(PO!O$12,ROW(D93)-ROW(D$12),0))</f>
        <v>T</v>
      </c>
      <c r="E93" s="140">
        <f ca="1">IF($A93&lt;&gt;"Serviço",0,ROUND(SUMIF($F$9:$P$9,"&lt;&gt;",$F93:$P93),15-13*PO!$X$3))</f>
        <v>34.340000000000003</v>
      </c>
      <c r="F93" s="360">
        <f ca="1">OFFSET(PO!$P$12,ROW($E93)-ROW(F$12),0)</f>
        <v>34.335000000000001</v>
      </c>
      <c r="G93" s="360"/>
      <c r="H93" s="360"/>
      <c r="I93" s="360"/>
      <c r="J93" s="360"/>
      <c r="K93" s="360"/>
      <c r="L93" s="360"/>
      <c r="M93" s="360"/>
      <c r="N93" s="360"/>
      <c r="O93" s="360"/>
      <c r="U93" s="182"/>
    </row>
    <row r="94" spans="1:21" s="1" customFormat="1" x14ac:dyDescent="0.25">
      <c r="A94" s="110" t="str">
        <f ca="1">OFFSET(PO!J$12,ROW(A94)-ROW($A$12),0)</f>
        <v>Nível 3</v>
      </c>
      <c r="B94" s="112" t="str">
        <f ca="1">IF($A94=0,"",OFFSET(PO!K$12,ROW(B94)-ROW(B$12),0))</f>
        <v>5.2.1.</v>
      </c>
      <c r="C94" s="109" t="str">
        <f ca="1">IF(OFFSET(PO!N$12,ROW(C94)-ROW(C$12),0)=0,"",OFFSET(PO!N$12,ROW(C94)-ROW(C$12),0))</f>
        <v>CARGA, TRANSPORTE E DESCARGA.</v>
      </c>
      <c r="D94" s="111" t="str">
        <f ca="1">IF(OFFSET(PO!O$12,ROW(D94)-ROW(D$12),0)=0,"",OFFSET(PO!O$12,ROW(D94)-ROW(D$12),0))</f>
        <v/>
      </c>
      <c r="E94" s="140">
        <f ca="1">IF($A94&lt;&gt;"Serviço",0,ROUND(SUMIF($F$9:$P$9,"&lt;&gt;",$F94:$P94),15-13*PO!$X$3))</f>
        <v>0</v>
      </c>
      <c r="F94" s="360">
        <f ca="1">OFFSET(PO!$P$12,ROW($E94)-ROW(F$12),0)</f>
        <v>0</v>
      </c>
      <c r="G94" s="360"/>
      <c r="H94" s="360"/>
      <c r="I94" s="360"/>
      <c r="J94" s="360"/>
      <c r="K94" s="360"/>
      <c r="L94" s="360"/>
      <c r="M94" s="360"/>
      <c r="N94" s="360"/>
      <c r="O94" s="360"/>
      <c r="U94" s="182"/>
    </row>
    <row r="95" spans="1:21" s="1" customFormat="1" ht="39.6" x14ac:dyDescent="0.25">
      <c r="A95" s="110" t="str">
        <f ca="1">OFFSET(PO!J$12,ROW(A95)-ROW($A$12),0)</f>
        <v>Serviço</v>
      </c>
      <c r="B95" s="112" t="str">
        <f ca="1">IF($A95=0,"",OFFSET(PO!K$12,ROW(B95)-ROW(B$12),0))</f>
        <v>5.2.1.1.</v>
      </c>
      <c r="C95" s="109" t="str">
        <f ca="1">IF(OFFSET(PO!N$12,ROW(C95)-ROW(C$12),0)=0,"",OFFSET(PO!N$12,ROW(C95)-ROW(C$12),0))</f>
        <v>Carga, manobra e descarga de mistura betuminosa a quente em caminhão basculante de 6 m³ - carga em usina de asfalto 100/140 t/h e descarga em vibroacabadora</v>
      </c>
      <c r="D95" s="111" t="str">
        <f ca="1">IF(OFFSET(PO!O$12,ROW(D95)-ROW(D$12),0)=0,"",OFFSET(PO!O$12,ROW(D95)-ROW(D$12),0))</f>
        <v>T</v>
      </c>
      <c r="E95" s="140">
        <f ca="1">IF($A95&lt;&gt;"Serviço",0,ROUND(SUMIF($F$9:$P$9,"&lt;&gt;",$F95:$P95),15-13*PO!$X$3))</f>
        <v>393.75</v>
      </c>
      <c r="F95" s="360">
        <f ca="1">OFFSET(PO!$P$12,ROW($E95)-ROW(F$12),0)</f>
        <v>393.75</v>
      </c>
      <c r="G95" s="360"/>
      <c r="H95" s="360"/>
      <c r="I95" s="360"/>
      <c r="J95" s="360"/>
      <c r="K95" s="360"/>
      <c r="L95" s="360"/>
      <c r="M95" s="360"/>
      <c r="N95" s="360"/>
      <c r="O95" s="360"/>
      <c r="U95" s="182"/>
    </row>
    <row r="96" spans="1:21" s="1" customFormat="1" ht="26.4" x14ac:dyDescent="0.25">
      <c r="A96" s="110" t="str">
        <f ca="1">OFFSET(PO!J$12,ROW(A96)-ROW($A$12),0)</f>
        <v>Serviço</v>
      </c>
      <c r="B96" s="112" t="str">
        <f ca="1">IF($A96=0,"",OFFSET(PO!K$12,ROW(B96)-ROW(B$12),0))</f>
        <v>5.2.1.2.</v>
      </c>
      <c r="C96" s="109" t="str">
        <f ca="1">IF(OFFSET(PO!N$12,ROW(C96)-ROW(C$12),0)=0,"",OFFSET(PO!N$12,ROW(C96)-ROW(C$12),0))</f>
        <v>Transporte de mistura betuminosa a quente com caminhão com caçamba térmica de 6 m³ - rodovia pavimentada (20KM)</v>
      </c>
      <c r="D96" s="111" t="str">
        <f ca="1">IF(OFFSET(PO!O$12,ROW(D96)-ROW(D$12),0)=0,"",OFFSET(PO!O$12,ROW(D96)-ROW(D$12),0))</f>
        <v>T</v>
      </c>
      <c r="E96" s="140">
        <f ca="1">IF($A96&lt;&gt;"Serviço",0,ROUND(SUMIF($F$9:$P$9,"&lt;&gt;",$F96:$P96),15-13*PO!$X$3))</f>
        <v>11812.5</v>
      </c>
      <c r="F96" s="360">
        <f ca="1">OFFSET(PO!$P$12,ROW($E96)-ROW(F$12),0)</f>
        <v>11812.5</v>
      </c>
      <c r="G96" s="360"/>
      <c r="H96" s="360"/>
      <c r="I96" s="360"/>
      <c r="J96" s="360"/>
      <c r="K96" s="360"/>
      <c r="L96" s="360"/>
      <c r="M96" s="360"/>
      <c r="N96" s="360"/>
      <c r="O96" s="360"/>
      <c r="U96" s="182"/>
    </row>
    <row r="97" spans="1:21" s="1" customFormat="1" ht="39.6" x14ac:dyDescent="0.25">
      <c r="A97" s="110" t="str">
        <f ca="1">OFFSET(PO!J$12,ROW(A97)-ROW($A$12),0)</f>
        <v>Serviço</v>
      </c>
      <c r="B97" s="112" t="str">
        <f ca="1">IF($A97=0,"",OFFSET(PO!K$12,ROW(B97)-ROW(B$12),0))</f>
        <v>5.2.1.3.</v>
      </c>
      <c r="C97" s="109" t="str">
        <f ca="1">IF(OFFSET(PO!N$12,ROW(C97)-ROW(C$12),0)=0,"",OFFSET(PO!N$12,ROW(C97)-ROW(C$12),0))</f>
        <v>TRANSPORTE COM CAMINHÃO TANQUE DE TRANSPORTE DE MATERIAL ASFÁLTICO DE 30000 L, EM VIA URBANA PAVIMENTADA, DMT ATÉ 30KM (UNIDADE: TXKM). AF_07/2020</v>
      </c>
      <c r="D97" s="111" t="str">
        <f ca="1">IF(OFFSET(PO!O$12,ROW(D97)-ROW(D$12),0)=0,"",OFFSET(PO!O$12,ROW(D97)-ROW(D$12),0))</f>
        <v>TXKM</v>
      </c>
      <c r="E97" s="140">
        <f ca="1">IF($A97&lt;&gt;"Serviço",0,ROUND(SUMIF($F$9:$P$9,"&lt;&gt;",$F97:$P97),15-13*PO!$X$3))</f>
        <v>680.4</v>
      </c>
      <c r="F97" s="360">
        <f ca="1">OFFSET(PO!$P$12,ROW($E97)-ROW(F$12),0)</f>
        <v>680.4</v>
      </c>
      <c r="G97" s="360"/>
      <c r="H97" s="360"/>
      <c r="I97" s="360"/>
      <c r="J97" s="360"/>
      <c r="K97" s="360"/>
      <c r="L97" s="360"/>
      <c r="M97" s="360"/>
      <c r="N97" s="360"/>
      <c r="O97" s="360"/>
      <c r="U97" s="182"/>
    </row>
    <row r="98" spans="1:21" s="1" customFormat="1" x14ac:dyDescent="0.25">
      <c r="A98" s="110" t="str">
        <f ca="1">OFFSET(PO!J$12,ROW(A98)-ROW($A$12),0)</f>
        <v>Nível 2</v>
      </c>
      <c r="B98" s="112" t="str">
        <f ca="1">IF($A98=0,"",OFFSET(PO!K$12,ROW(B98)-ROW(B$12),0))</f>
        <v>5.3.</v>
      </c>
      <c r="C98" s="109" t="str">
        <f ca="1">IF(OFFSET(PO!N$12,ROW(C98)-ROW(C$12),0)=0,"",OFFSET(PO!N$12,ROW(C98)-ROW(C$12),0))</f>
        <v>SINALIZAÇÃO</v>
      </c>
      <c r="D98" s="111" t="str">
        <f ca="1">IF(OFFSET(PO!O$12,ROW(D98)-ROW(D$12),0)=0,"",OFFSET(PO!O$12,ROW(D98)-ROW(D$12),0))</f>
        <v/>
      </c>
      <c r="E98" s="140">
        <f ca="1">IF($A98&lt;&gt;"Serviço",0,ROUND(SUMIF($F$9:$P$9,"&lt;&gt;",$F98:$P98),15-13*PO!$X$3))</f>
        <v>0</v>
      </c>
      <c r="F98" s="360">
        <f ca="1">OFFSET(PO!$P$12,ROW($E98)-ROW(F$12),0)</f>
        <v>0</v>
      </c>
      <c r="G98" s="360"/>
      <c r="H98" s="360"/>
      <c r="I98" s="360"/>
      <c r="J98" s="360"/>
      <c r="K98" s="360"/>
      <c r="L98" s="360"/>
      <c r="M98" s="360"/>
      <c r="N98" s="360"/>
      <c r="O98" s="360"/>
      <c r="U98" s="182"/>
    </row>
    <row r="99" spans="1:21" s="1" customFormat="1" ht="52.8" x14ac:dyDescent="0.25">
      <c r="A99" s="110" t="str">
        <f ca="1">OFFSET(PO!J$12,ROW(A99)-ROW($A$12),0)</f>
        <v>Serviço</v>
      </c>
      <c r="B99" s="112" t="str">
        <f ca="1">IF($A99=0,"",OFFSET(PO!K$12,ROW(B99)-ROW(B$12),0))</f>
        <v>5.3.0.1.</v>
      </c>
      <c r="C99" s="109" t="str">
        <f ca="1">IF(OFFSET(PO!N$12,ROW(C99)-ROW(C$12),0)=0,"",OFFSET(PO!N$12,ROW(C99)-ROW(C$12),0))</f>
        <v>PINTURA DE EIXO VIÁRIO SOBRE ASFALTO COM TINTA RETRORREFLETIVA A BASE DE RESINA ACRÍLICA COM MICROESFERAS DE VIDRO, APLICAÇÃO MECÂNICA COM DEMARCADORA AUTOPROPELIDA. AF_05/2021</v>
      </c>
      <c r="D99" s="111" t="str">
        <f ca="1">IF(OFFSET(PO!O$12,ROW(D99)-ROW(D$12),0)=0,"",OFFSET(PO!O$12,ROW(D99)-ROW(D$12),0))</f>
        <v>M</v>
      </c>
      <c r="E99" s="140">
        <f ca="1">IF($A99&lt;&gt;"Serviço",0,ROUND(SUMIF($F$9:$P$9,"&lt;&gt;",$F99:$P99),15-13*PO!$X$3))</f>
        <v>1350</v>
      </c>
      <c r="F99" s="360">
        <f ca="1">OFFSET(PO!$P$12,ROW($E99)-ROW(F$12),0)</f>
        <v>1350</v>
      </c>
      <c r="G99" s="360"/>
      <c r="H99" s="360"/>
      <c r="I99" s="360"/>
      <c r="J99" s="360"/>
      <c r="K99" s="360"/>
      <c r="L99" s="360"/>
      <c r="M99" s="360"/>
      <c r="N99" s="360"/>
      <c r="O99" s="360"/>
      <c r="U99" s="182"/>
    </row>
    <row r="100" spans="1:21" s="1" customFormat="1" ht="39.6" x14ac:dyDescent="0.25">
      <c r="A100" s="110" t="str">
        <f ca="1">OFFSET(PO!J$12,ROW(A100)-ROW($A$12),0)</f>
        <v>Serviço</v>
      </c>
      <c r="B100" s="112" t="str">
        <f ca="1">IF($A100=0,"",OFFSET(PO!K$12,ROW(B100)-ROW(B$12),0))</f>
        <v>5.3.0.2.</v>
      </c>
      <c r="C100" s="109" t="str">
        <f ca="1">IF(OFFSET(PO!N$12,ROW(C100)-ROW(C$12),0)=0,"",OFFSET(PO!N$12,ROW(C100)-ROW(C$12),0))</f>
        <v xml:space="preserve">FORNECIMENTO E INSTALAÇÃO DE PLACAS SEMIREFLETIVAS DE REGULAMENTAÇÃO OU ADVERTÊNCIA COM SUPORTE METÁLICO </v>
      </c>
      <c r="D100" s="111" t="str">
        <f ca="1">IF(OFFSET(PO!O$12,ROW(D100)-ROW(D$12),0)=0,"",OFFSET(PO!O$12,ROW(D100)-ROW(D$12),0))</f>
        <v xml:space="preserve">UN </v>
      </c>
      <c r="E100" s="140">
        <f ca="1">IF($A100&lt;&gt;"Serviço",0,ROUND(SUMIF($F$9:$P$9,"&lt;&gt;",$F100:$P100),15-13*PO!$X$3))</f>
        <v>1</v>
      </c>
      <c r="F100" s="360">
        <f ca="1">OFFSET(PO!$P$12,ROW($E100)-ROW(F$12),0)</f>
        <v>1</v>
      </c>
      <c r="G100" s="360"/>
      <c r="H100" s="360"/>
      <c r="I100" s="360"/>
      <c r="J100" s="360"/>
      <c r="K100" s="360"/>
      <c r="L100" s="360"/>
      <c r="M100" s="360"/>
      <c r="N100" s="360"/>
      <c r="O100" s="360"/>
      <c r="U100" s="182"/>
    </row>
    <row r="101" spans="1:21" s="1" customFormat="1" x14ac:dyDescent="0.25">
      <c r="A101" s="110" t="str">
        <f ca="1">OFFSET(PO!J$12,ROW(A101)-ROW($A$12),0)</f>
        <v>Meta</v>
      </c>
      <c r="B101" s="112" t="str">
        <f ca="1">IF($A101=0,"",OFFSET(PO!K$12,ROW(B101)-ROW(B$12),0))</f>
        <v>6.</v>
      </c>
      <c r="C101" s="109" t="str">
        <f ca="1">IF(OFFSET(PO!N$12,ROW(C101)-ROW(C$12),0)=0,"",OFFSET(PO!N$12,ROW(C101)-ROW(C$12),0))</f>
        <v>TRECHO 5</v>
      </c>
      <c r="D101" s="111" t="str">
        <f ca="1">IF(OFFSET(PO!O$12,ROW(D101)-ROW(D$12),0)=0,"",OFFSET(PO!O$12,ROW(D101)-ROW(D$12),0))</f>
        <v/>
      </c>
      <c r="E101" s="140">
        <f ca="1">IF($A101&lt;&gt;"Serviço",0,ROUND(SUMIF($F$9:$P$9,"&lt;&gt;",$F101:$P101),15-13*PO!$X$3))</f>
        <v>0</v>
      </c>
      <c r="F101" s="360">
        <f ca="1">OFFSET(PO!$P$12,ROW($E101)-ROW(F$12),0)</f>
        <v>0</v>
      </c>
      <c r="G101" s="360"/>
      <c r="H101" s="360"/>
      <c r="I101" s="360"/>
      <c r="J101" s="360"/>
      <c r="K101" s="360"/>
      <c r="L101" s="360"/>
      <c r="M101" s="360"/>
      <c r="N101" s="360"/>
      <c r="O101" s="360"/>
      <c r="U101" s="182"/>
    </row>
    <row r="102" spans="1:21" s="1" customFormat="1" x14ac:dyDescent="0.25">
      <c r="A102" s="110" t="str">
        <f ca="1">OFFSET(PO!J$12,ROW(A102)-ROW($A$12),0)</f>
        <v>Nível 2</v>
      </c>
      <c r="B102" s="112" t="str">
        <f ca="1">IF($A102=0,"",OFFSET(PO!K$12,ROW(B102)-ROW(B$12),0))</f>
        <v>6.1.</v>
      </c>
      <c r="C102" s="109" t="str">
        <f ca="1">IF(OFFSET(PO!N$12,ROW(C102)-ROW(C$12),0)=0,"",OFFSET(PO!N$12,ROW(C102)-ROW(C$12),0))</f>
        <v>MOVIMENTAÇÃO DE TERRA E EXECUÇÃO DA BASE</v>
      </c>
      <c r="D102" s="111" t="str">
        <f ca="1">IF(OFFSET(PO!O$12,ROW(D102)-ROW(D$12),0)=0,"",OFFSET(PO!O$12,ROW(D102)-ROW(D$12),0))</f>
        <v/>
      </c>
      <c r="E102" s="140">
        <f ca="1">IF($A102&lt;&gt;"Serviço",0,ROUND(SUMIF($F$9:$P$9,"&lt;&gt;",$F102:$P102),15-13*PO!$X$3))</f>
        <v>0</v>
      </c>
      <c r="F102" s="360">
        <f ca="1">OFFSET(PO!$P$12,ROW($E102)-ROW(F$12),0)</f>
        <v>0</v>
      </c>
      <c r="G102" s="360"/>
      <c r="H102" s="360"/>
      <c r="I102" s="360"/>
      <c r="J102" s="360"/>
      <c r="K102" s="360"/>
      <c r="L102" s="360"/>
      <c r="M102" s="360"/>
      <c r="N102" s="360"/>
      <c r="O102" s="360"/>
      <c r="U102" s="182"/>
    </row>
    <row r="103" spans="1:21" s="1" customFormat="1" x14ac:dyDescent="0.25">
      <c r="A103" s="110" t="str">
        <f ca="1">OFFSET(PO!J$12,ROW(A103)-ROW($A$12),0)</f>
        <v>Serviço</v>
      </c>
      <c r="B103" s="112" t="str">
        <f ca="1">IF($A103=0,"",OFFSET(PO!K$12,ROW(B103)-ROW(B$12),0))</f>
        <v>6.1.0.1.</v>
      </c>
      <c r="C103" s="109" t="str">
        <f ca="1">IF(OFFSET(PO!N$12,ROW(C103)-ROW(C$12),0)=0,"",OFFSET(PO!N$12,ROW(C103)-ROW(C$12),0))</f>
        <v>SINALIZAÇÃO DE TRANSITO NOTURNA</v>
      </c>
      <c r="D103" s="111" t="str">
        <f ca="1">IF(OFFSET(PO!O$12,ROW(D103)-ROW(D$12),0)=0,"",OFFSET(PO!O$12,ROW(D103)-ROW(D$12),0))</f>
        <v xml:space="preserve">M     </v>
      </c>
      <c r="E103" s="140">
        <f ca="1">IF($A103&lt;&gt;"Serviço",0,ROUND(SUMIF($F$9:$P$9,"&lt;&gt;",$F103:$P103),15-13*PO!$X$3))</f>
        <v>80</v>
      </c>
      <c r="F103" s="360">
        <f ca="1">OFFSET(PO!$P$12,ROW($E103)-ROW(F$12),0)</f>
        <v>80</v>
      </c>
      <c r="G103" s="360"/>
      <c r="H103" s="360"/>
      <c r="I103" s="360"/>
      <c r="J103" s="360"/>
      <c r="K103" s="360"/>
      <c r="L103" s="360"/>
      <c r="M103" s="360"/>
      <c r="N103" s="360"/>
      <c r="O103" s="360"/>
      <c r="U103" s="182"/>
    </row>
    <row r="104" spans="1:21" s="1" customFormat="1" ht="39.6" x14ac:dyDescent="0.25">
      <c r="A104" s="110" t="str">
        <f ca="1">OFFSET(PO!J$12,ROW(A104)-ROW($A$12),0)</f>
        <v>Serviço</v>
      </c>
      <c r="B104" s="112" t="str">
        <f ca="1">IF($A104=0,"",OFFSET(PO!K$12,ROW(B104)-ROW(B$12),0))</f>
        <v>6.1.0.2.</v>
      </c>
      <c r="C104" s="109" t="str">
        <f ca="1">IF(OFFSET(PO!N$12,ROW(C104)-ROW(C$12),0)=0,"",OFFSET(PO!N$12,ROW(C104)-ROW(C$12),0))</f>
        <v>Escavação, carga e transporte de material de 1ª categoria - DMT de 1.000 a 1.200 m - caminho de serviço em leito natural - com carregadeira e caminhão basculante de 14 m³</v>
      </c>
      <c r="D104" s="111" t="str">
        <f ca="1">IF(OFFSET(PO!O$12,ROW(D104)-ROW(D$12),0)=0,"",OFFSET(PO!O$12,ROW(D104)-ROW(D$12),0))</f>
        <v>M3</v>
      </c>
      <c r="E104" s="140">
        <f ca="1">IF($A104&lt;&gt;"Serviço",0,ROUND(SUMIF($F$9:$P$9,"&lt;&gt;",$F104:$P104),15-13*PO!$X$3))</f>
        <v>280</v>
      </c>
      <c r="F104" s="360">
        <f ca="1">OFFSET(PO!$P$12,ROW($E104)-ROW(F$12),0)</f>
        <v>280</v>
      </c>
      <c r="G104" s="360"/>
      <c r="H104" s="360"/>
      <c r="I104" s="360"/>
      <c r="J104" s="360"/>
      <c r="K104" s="360"/>
      <c r="L104" s="360"/>
      <c r="M104" s="360"/>
      <c r="N104" s="360"/>
      <c r="O104" s="360"/>
      <c r="U104" s="182"/>
    </row>
    <row r="105" spans="1:21" s="1" customFormat="1" x14ac:dyDescent="0.25">
      <c r="A105" s="110" t="str">
        <f ca="1">OFFSET(PO!J$12,ROW(A105)-ROW($A$12),0)</f>
        <v>Serviço</v>
      </c>
      <c r="B105" s="112" t="str">
        <f ca="1">IF($A105=0,"",OFFSET(PO!K$12,ROW(B105)-ROW(B$12),0))</f>
        <v>6.1.0.3.</v>
      </c>
      <c r="C105" s="109" t="str">
        <f ca="1">IF(OFFSET(PO!N$12,ROW(C105)-ROW(C$12),0)=0,"",OFFSET(PO!N$12,ROW(C105)-ROW(C$12),0))</f>
        <v>Reforço do subleito com material de jazida</v>
      </c>
      <c r="D105" s="111" t="str">
        <f ca="1">IF(OFFSET(PO!O$12,ROW(D105)-ROW(D$12),0)=0,"",OFFSET(PO!O$12,ROW(D105)-ROW(D$12),0))</f>
        <v>M3</v>
      </c>
      <c r="E105" s="140">
        <f ca="1">IF($A105&lt;&gt;"Serviço",0,ROUND(SUMIF($F$9:$P$9,"&lt;&gt;",$F105:$P105),15-13*PO!$X$3))</f>
        <v>140</v>
      </c>
      <c r="F105" s="360">
        <f ca="1">OFFSET(PO!$P$12,ROW($E105)-ROW(F$12),0)</f>
        <v>140</v>
      </c>
      <c r="G105" s="360"/>
      <c r="H105" s="360"/>
      <c r="I105" s="360"/>
      <c r="J105" s="360"/>
      <c r="K105" s="360"/>
      <c r="L105" s="360"/>
      <c r="M105" s="360"/>
      <c r="N105" s="360"/>
      <c r="O105" s="360"/>
      <c r="U105" s="182"/>
    </row>
    <row r="106" spans="1:21" s="1" customFormat="1" x14ac:dyDescent="0.25">
      <c r="A106" s="110" t="str">
        <f ca="1">OFFSET(PO!J$12,ROW(A106)-ROW($A$12),0)</f>
        <v>Serviço</v>
      </c>
      <c r="B106" s="112" t="str">
        <f ca="1">IF($A106=0,"",OFFSET(PO!K$12,ROW(B106)-ROW(B$12),0))</f>
        <v>6.1.0.4.</v>
      </c>
      <c r="C106" s="109" t="str">
        <f ca="1">IF(OFFSET(PO!N$12,ROW(C106)-ROW(C$12),0)=0,"",OFFSET(PO!N$12,ROW(C106)-ROW(C$12),0))</f>
        <v>Base ou sub-base de brita graduada com brita comercial</v>
      </c>
      <c r="D106" s="111" t="str">
        <f ca="1">IF(OFFSET(PO!O$12,ROW(D106)-ROW(D$12),0)=0,"",OFFSET(PO!O$12,ROW(D106)-ROW(D$12),0))</f>
        <v>M3</v>
      </c>
      <c r="E106" s="140">
        <f ca="1">IF($A106&lt;&gt;"Serviço",0,ROUND(SUMIF($F$9:$P$9,"&lt;&gt;",$F106:$P106),15-13*PO!$X$3))</f>
        <v>140</v>
      </c>
      <c r="F106" s="360">
        <f ca="1">OFFSET(PO!$P$12,ROW($E106)-ROW(F$12),0)</f>
        <v>140</v>
      </c>
      <c r="G106" s="360"/>
      <c r="H106" s="360"/>
      <c r="I106" s="360"/>
      <c r="J106" s="360"/>
      <c r="K106" s="360"/>
      <c r="L106" s="360"/>
      <c r="M106" s="360"/>
      <c r="N106" s="360"/>
      <c r="O106" s="360"/>
      <c r="U106" s="182"/>
    </row>
    <row r="107" spans="1:21" s="1" customFormat="1" ht="26.4" x14ac:dyDescent="0.25">
      <c r="A107" s="110" t="str">
        <f ca="1">OFFSET(PO!J$12,ROW(A107)-ROW($A$12),0)</f>
        <v>Serviço</v>
      </c>
      <c r="B107" s="112" t="str">
        <f ca="1">IF($A107=0,"",OFFSET(PO!K$12,ROW(B107)-ROW(B$12),0))</f>
        <v>6.1.0.5.</v>
      </c>
      <c r="C107" s="109" t="str">
        <f ca="1">IF(OFFSET(PO!N$12,ROW(C107)-ROW(C$12),0)=0,"",OFFSET(PO!N$12,ROW(C107)-ROW(C$12),0))</f>
        <v>Transporte com caminhão basculante de 10 m³ - rodovia pavimentada (30km)</v>
      </c>
      <c r="D107" s="111" t="str">
        <f ca="1">IF(OFFSET(PO!O$12,ROW(D107)-ROW(D$12),0)=0,"",OFFSET(PO!O$12,ROW(D107)-ROW(D$12),0))</f>
        <v>TKM</v>
      </c>
      <c r="E107" s="140">
        <f ca="1">IF($A107&lt;&gt;"Serviço",0,ROUND(SUMIF($F$9:$P$9,"&lt;&gt;",$F107:$P107),15-13*PO!$X$3))</f>
        <v>15120</v>
      </c>
      <c r="F107" s="360">
        <f ca="1">OFFSET(PO!$P$12,ROW($E107)-ROW(F$12),0)</f>
        <v>15120</v>
      </c>
      <c r="G107" s="360"/>
      <c r="H107" s="360"/>
      <c r="I107" s="360"/>
      <c r="J107" s="360"/>
      <c r="K107" s="360"/>
      <c r="L107" s="360"/>
      <c r="M107" s="360"/>
      <c r="N107" s="360"/>
      <c r="O107" s="360"/>
      <c r="U107" s="182"/>
    </row>
    <row r="108" spans="1:21" s="1" customFormat="1" x14ac:dyDescent="0.25">
      <c r="A108" s="110" t="str">
        <f ca="1">OFFSET(PO!J$12,ROW(A108)-ROW($A$12),0)</f>
        <v>Nível 2</v>
      </c>
      <c r="B108" s="112" t="str">
        <f ca="1">IF($A108=0,"",OFFSET(PO!K$12,ROW(B108)-ROW(B$12),0))</f>
        <v>6.2.</v>
      </c>
      <c r="C108" s="109" t="str">
        <f ca="1">IF(OFFSET(PO!N$12,ROW(C108)-ROW(C$12),0)=0,"",OFFSET(PO!N$12,ROW(C108)-ROW(C$12),0))</f>
        <v>PAVIMENTAÇÃO EM CBUQ</v>
      </c>
      <c r="D108" s="111" t="str">
        <f ca="1">IF(OFFSET(PO!O$12,ROW(D108)-ROW(D$12),0)=0,"",OFFSET(PO!O$12,ROW(D108)-ROW(D$12),0))</f>
        <v/>
      </c>
      <c r="E108" s="140">
        <f ca="1">IF($A108&lt;&gt;"Serviço",0,ROUND(SUMIF($F$9:$P$9,"&lt;&gt;",$F108:$P108),15-13*PO!$X$3))</f>
        <v>0</v>
      </c>
      <c r="F108" s="360">
        <f ca="1">OFFSET(PO!$P$12,ROW($E108)-ROW(F$12),0)</f>
        <v>0</v>
      </c>
      <c r="G108" s="360"/>
      <c r="H108" s="360"/>
      <c r="I108" s="360"/>
      <c r="J108" s="360"/>
      <c r="K108" s="360"/>
      <c r="L108" s="360"/>
      <c r="M108" s="360"/>
      <c r="N108" s="360"/>
      <c r="O108" s="360"/>
      <c r="U108" s="182"/>
    </row>
    <row r="109" spans="1:21" s="1" customFormat="1" x14ac:dyDescent="0.25">
      <c r="A109" s="110" t="str">
        <f ca="1">OFFSET(PO!J$12,ROW(A109)-ROW($A$12),0)</f>
        <v>Serviço</v>
      </c>
      <c r="B109" s="112" t="str">
        <f ca="1">IF($A109=0,"",OFFSET(PO!K$12,ROW(B109)-ROW(B$12),0))</f>
        <v>6.2.0.1.</v>
      </c>
      <c r="C109" s="109" t="str">
        <f ca="1">IF(OFFSET(PO!N$12,ROW(C109)-ROW(C$12),0)=0,"",OFFSET(PO!N$12,ROW(C109)-ROW(C$12),0))</f>
        <v>Imprimação com emulsão asfáltica</v>
      </c>
      <c r="D109" s="111" t="str">
        <f ca="1">IF(OFFSET(PO!O$12,ROW(D109)-ROW(D$12),0)=0,"",OFFSET(PO!O$12,ROW(D109)-ROW(D$12),0))</f>
        <v>M2</v>
      </c>
      <c r="E109" s="140">
        <f ca="1">IF($A109&lt;&gt;"Serviço",0,ROUND(SUMIF($F$9:$P$9,"&lt;&gt;",$F109:$P109),15-13*PO!$X$3))</f>
        <v>560</v>
      </c>
      <c r="F109" s="360">
        <f ca="1">OFFSET(PO!$P$12,ROW($E109)-ROW(F$12),0)</f>
        <v>560</v>
      </c>
      <c r="G109" s="360"/>
      <c r="H109" s="360"/>
      <c r="I109" s="360"/>
      <c r="J109" s="360"/>
      <c r="K109" s="360"/>
      <c r="L109" s="360"/>
      <c r="M109" s="360"/>
      <c r="N109" s="360"/>
      <c r="O109" s="360"/>
      <c r="U109" s="182"/>
    </row>
    <row r="110" spans="1:21" s="1" customFormat="1" x14ac:dyDescent="0.25">
      <c r="A110" s="110" t="str">
        <f ca="1">OFFSET(PO!J$12,ROW(A110)-ROW($A$12),0)</f>
        <v>Serviço</v>
      </c>
      <c r="B110" s="112" t="str">
        <f ca="1">IF($A110=0,"",OFFSET(PO!K$12,ROW(B110)-ROW(B$12),0))</f>
        <v>6.2.0.2.</v>
      </c>
      <c r="C110" s="109" t="str">
        <f ca="1">IF(OFFSET(PO!N$12,ROW(C110)-ROW(C$12),0)=0,"",OFFSET(PO!N$12,ROW(C110)-ROW(C$12),0))</f>
        <v>Pintura de ligação</v>
      </c>
      <c r="D110" s="111" t="str">
        <f ca="1">IF(OFFSET(PO!O$12,ROW(D110)-ROW(D$12),0)=0,"",OFFSET(PO!O$12,ROW(D110)-ROW(D$12),0))</f>
        <v>M2</v>
      </c>
      <c r="E110" s="140">
        <f ca="1">IF($A110&lt;&gt;"Serviço",0,ROUND(SUMIF($F$9:$P$9,"&lt;&gt;",$F110:$P110),15-13*PO!$X$3))</f>
        <v>560</v>
      </c>
      <c r="F110" s="360">
        <f ca="1">OFFSET(PO!$P$12,ROW($E110)-ROW(F$12),0)</f>
        <v>560</v>
      </c>
      <c r="G110" s="360"/>
      <c r="H110" s="360"/>
      <c r="I110" s="360"/>
      <c r="J110" s="360"/>
      <c r="K110" s="360"/>
      <c r="L110" s="360"/>
      <c r="M110" s="360"/>
      <c r="N110" s="360"/>
      <c r="O110" s="360"/>
      <c r="U110" s="182"/>
    </row>
    <row r="111" spans="1:21" s="1" customFormat="1" x14ac:dyDescent="0.25">
      <c r="A111" s="110" t="str">
        <f ca="1">OFFSET(PO!J$12,ROW(A111)-ROW($A$12),0)</f>
        <v>Serviço</v>
      </c>
      <c r="B111" s="112" t="str">
        <f ca="1">IF($A111=0,"",OFFSET(PO!K$12,ROW(B111)-ROW(B$12),0))</f>
        <v>6.2.0.3.</v>
      </c>
      <c r="C111" s="109" t="str">
        <f ca="1">IF(OFFSET(PO!N$12,ROW(C111)-ROW(C$12),0)=0,"",OFFSET(PO!N$12,ROW(C111)-ROW(C$12),0))</f>
        <v>Concreto asfáltico - faixa C - areia e brita comerciais (0,125 T/M2)</v>
      </c>
      <c r="D111" s="111" t="str">
        <f ca="1">IF(OFFSET(PO!O$12,ROW(D111)-ROW(D$12),0)=0,"",OFFSET(PO!O$12,ROW(D111)-ROW(D$12),0))</f>
        <v>T</v>
      </c>
      <c r="E111" s="140">
        <f ca="1">IF($A111&lt;&gt;"Serviço",0,ROUND(SUMIF($F$9:$P$9,"&lt;&gt;",$F111:$P111),15-13*PO!$X$3))</f>
        <v>70</v>
      </c>
      <c r="F111" s="360">
        <f ca="1">OFFSET(PO!$P$12,ROW($E111)-ROW(F$12),0)</f>
        <v>70</v>
      </c>
      <c r="G111" s="360"/>
      <c r="H111" s="360"/>
      <c r="I111" s="360"/>
      <c r="J111" s="360"/>
      <c r="K111" s="360"/>
      <c r="L111" s="360"/>
      <c r="M111" s="360"/>
      <c r="N111" s="360"/>
      <c r="O111" s="360"/>
      <c r="U111" s="182"/>
    </row>
    <row r="112" spans="1:21" s="1" customFormat="1" x14ac:dyDescent="0.25">
      <c r="A112" s="110" t="str">
        <f ca="1">OFFSET(PO!J$12,ROW(A112)-ROW($A$12),0)</f>
        <v>Serviço</v>
      </c>
      <c r="B112" s="112" t="str">
        <f ca="1">IF($A112=0,"",OFFSET(PO!K$12,ROW(B112)-ROW(B$12),0))</f>
        <v>6.2.0.4.</v>
      </c>
      <c r="C112" s="109" t="str">
        <f ca="1">IF(OFFSET(PO!N$12,ROW(C112)-ROW(C$12),0)=0,"",OFFSET(PO!N$12,ROW(C112)-ROW(C$12),0))</f>
        <v>AQUISIÇÃO DE EMULSÃO ASFÁLTICA EAI</v>
      </c>
      <c r="D112" s="111" t="str">
        <f ca="1">IF(OFFSET(PO!O$12,ROW(D112)-ROW(D$12),0)=0,"",OFFSET(PO!O$12,ROW(D112)-ROW(D$12),0))</f>
        <v>T</v>
      </c>
      <c r="E112" s="140">
        <f ca="1">IF($A112&lt;&gt;"Serviço",0,ROUND(SUMIF($F$9:$P$9,"&lt;&gt;",$F112:$P112),15-13*PO!$X$3))</f>
        <v>0.73</v>
      </c>
      <c r="F112" s="360">
        <f ca="1">OFFSET(PO!$P$12,ROW($E112)-ROW(F$12),0)</f>
        <v>0.72799999999999998</v>
      </c>
      <c r="G112" s="360"/>
      <c r="H112" s="360"/>
      <c r="I112" s="360"/>
      <c r="J112" s="360"/>
      <c r="K112" s="360"/>
      <c r="L112" s="360"/>
      <c r="M112" s="360"/>
      <c r="N112" s="360"/>
      <c r="O112" s="360"/>
      <c r="U112" s="182"/>
    </row>
    <row r="113" spans="1:21" s="1" customFormat="1" x14ac:dyDescent="0.25">
      <c r="A113" s="110" t="str">
        <f ca="1">OFFSET(PO!J$12,ROW(A113)-ROW($A$12),0)</f>
        <v>Serviço</v>
      </c>
      <c r="B113" s="112" t="str">
        <f ca="1">IF($A113=0,"",OFFSET(PO!K$12,ROW(B113)-ROW(B$12),0))</f>
        <v>6.2.0.5.</v>
      </c>
      <c r="C113" s="109" t="str">
        <f ca="1">IF(OFFSET(PO!N$12,ROW(C113)-ROW(C$12),0)=0,"",OFFSET(PO!N$12,ROW(C113)-ROW(C$12),0))</f>
        <v>AQUISIÇÃO DE EMULSÃO ASFÁLTICA RR-1C</v>
      </c>
      <c r="D113" s="111" t="str">
        <f ca="1">IF(OFFSET(PO!O$12,ROW(D113)-ROW(D$12),0)=0,"",OFFSET(PO!O$12,ROW(D113)-ROW(D$12),0))</f>
        <v>T</v>
      </c>
      <c r="E113" s="140">
        <f ca="1">IF($A113&lt;&gt;"Serviço",0,ROUND(SUMIF($F$9:$P$9,"&lt;&gt;",$F113:$P113),15-13*PO!$X$3))</f>
        <v>0.5</v>
      </c>
      <c r="F113" s="360">
        <f ca="1">OFFSET(PO!$P$12,ROW($E113)-ROW(F$12),0)</f>
        <v>0.504</v>
      </c>
      <c r="G113" s="360"/>
      <c r="H113" s="360"/>
      <c r="I113" s="360"/>
      <c r="J113" s="360"/>
      <c r="K113" s="360"/>
      <c r="L113" s="360"/>
      <c r="M113" s="360"/>
      <c r="N113" s="360"/>
      <c r="O113" s="360"/>
      <c r="U113" s="182"/>
    </row>
    <row r="114" spans="1:21" s="1" customFormat="1" x14ac:dyDescent="0.25">
      <c r="A114" s="110" t="str">
        <f ca="1">OFFSET(PO!J$12,ROW(A114)-ROW($A$12),0)</f>
        <v>Serviço</v>
      </c>
      <c r="B114" s="112" t="str">
        <f ca="1">IF($A114=0,"",OFFSET(PO!K$12,ROW(B114)-ROW(B$12),0))</f>
        <v>6.2.0.6.</v>
      </c>
      <c r="C114" s="109" t="str">
        <f ca="1">IF(OFFSET(PO!N$12,ROW(C114)-ROW(C$12),0)=0,"",OFFSET(PO!N$12,ROW(C114)-ROW(C$12),0))</f>
        <v>AQUISIÇÃO DE LIGANTE ASFÁLTICA CAP 50/70</v>
      </c>
      <c r="D114" s="111" t="str">
        <f ca="1">IF(OFFSET(PO!O$12,ROW(D114)-ROW(D$12),0)=0,"",OFFSET(PO!O$12,ROW(D114)-ROW(D$12),0))</f>
        <v>T</v>
      </c>
      <c r="E114" s="140">
        <f ca="1">IF($A114&lt;&gt;"Serviço",0,ROUND(SUMIF($F$9:$P$9,"&lt;&gt;",$F114:$P114),15-13*PO!$X$3))</f>
        <v>6.1</v>
      </c>
      <c r="F114" s="360">
        <f ca="1">OFFSET(PO!$P$12,ROW($E114)-ROW(F$12),0)</f>
        <v>6.1040000000000001</v>
      </c>
      <c r="G114" s="360"/>
      <c r="H114" s="360"/>
      <c r="I114" s="360"/>
      <c r="J114" s="360"/>
      <c r="K114" s="360"/>
      <c r="L114" s="360"/>
      <c r="M114" s="360"/>
      <c r="N114" s="360"/>
      <c r="O114" s="360"/>
      <c r="U114" s="182"/>
    </row>
    <row r="115" spans="1:21" s="1" customFormat="1" x14ac:dyDescent="0.25">
      <c r="A115" s="110" t="str">
        <f ca="1">OFFSET(PO!J$12,ROW(A115)-ROW($A$12),0)</f>
        <v>Nível 3</v>
      </c>
      <c r="B115" s="112" t="str">
        <f ca="1">IF($A115=0,"",OFFSET(PO!K$12,ROW(B115)-ROW(B$12),0))</f>
        <v>6.2.1.</v>
      </c>
      <c r="C115" s="109" t="str">
        <f ca="1">IF(OFFSET(PO!N$12,ROW(C115)-ROW(C$12),0)=0,"",OFFSET(PO!N$12,ROW(C115)-ROW(C$12),0))</f>
        <v>CARGA, TRANSPORTE E DESCARGA.</v>
      </c>
      <c r="D115" s="111" t="str">
        <f ca="1">IF(OFFSET(PO!O$12,ROW(D115)-ROW(D$12),0)=0,"",OFFSET(PO!O$12,ROW(D115)-ROW(D$12),0))</f>
        <v/>
      </c>
      <c r="E115" s="140">
        <f ca="1">IF($A115&lt;&gt;"Serviço",0,ROUND(SUMIF($F$9:$P$9,"&lt;&gt;",$F115:$P115),15-13*PO!$X$3))</f>
        <v>0</v>
      </c>
      <c r="F115" s="360">
        <f ca="1">OFFSET(PO!$P$12,ROW($E115)-ROW(F$12),0)</f>
        <v>0</v>
      </c>
      <c r="G115" s="360"/>
      <c r="H115" s="360"/>
      <c r="I115" s="360"/>
      <c r="J115" s="360"/>
      <c r="K115" s="360"/>
      <c r="L115" s="360"/>
      <c r="M115" s="360"/>
      <c r="N115" s="360"/>
      <c r="O115" s="360"/>
      <c r="U115" s="182"/>
    </row>
    <row r="116" spans="1:21" s="1" customFormat="1" ht="39.6" x14ac:dyDescent="0.25">
      <c r="A116" s="110" t="str">
        <f ca="1">OFFSET(PO!J$12,ROW(A116)-ROW($A$12),0)</f>
        <v>Serviço</v>
      </c>
      <c r="B116" s="112" t="str">
        <f ca="1">IF($A116=0,"",OFFSET(PO!K$12,ROW(B116)-ROW(B$12),0))</f>
        <v>6.2.1.1.</v>
      </c>
      <c r="C116" s="109" t="str">
        <f ca="1">IF(OFFSET(PO!N$12,ROW(C116)-ROW(C$12),0)=0,"",OFFSET(PO!N$12,ROW(C116)-ROW(C$12),0))</f>
        <v>Carga, manobra e descarga de mistura betuminosa a quente em caminhão basculante de 6 m³ - carga em usina de asfalto 100/140 t/h e descarga em vibroacabadora</v>
      </c>
      <c r="D116" s="111" t="str">
        <f ca="1">IF(OFFSET(PO!O$12,ROW(D116)-ROW(D$12),0)=0,"",OFFSET(PO!O$12,ROW(D116)-ROW(D$12),0))</f>
        <v>T</v>
      </c>
      <c r="E116" s="140">
        <f ca="1">IF($A116&lt;&gt;"Serviço",0,ROUND(SUMIF($F$9:$P$9,"&lt;&gt;",$F116:$P116),15-13*PO!$X$3))</f>
        <v>70</v>
      </c>
      <c r="F116" s="360">
        <f ca="1">OFFSET(PO!$P$12,ROW($E116)-ROW(F$12),0)</f>
        <v>70</v>
      </c>
      <c r="G116" s="360"/>
      <c r="H116" s="360"/>
      <c r="I116" s="360"/>
      <c r="J116" s="360"/>
      <c r="K116" s="360"/>
      <c r="L116" s="360"/>
      <c r="M116" s="360"/>
      <c r="N116" s="360"/>
      <c r="O116" s="360"/>
      <c r="U116" s="182"/>
    </row>
    <row r="117" spans="1:21" s="1" customFormat="1" ht="26.4" x14ac:dyDescent="0.25">
      <c r="A117" s="110" t="str">
        <f ca="1">OFFSET(PO!J$12,ROW(A117)-ROW($A$12),0)</f>
        <v>Serviço</v>
      </c>
      <c r="B117" s="112" t="str">
        <f ca="1">IF($A117=0,"",OFFSET(PO!K$12,ROW(B117)-ROW(B$12),0))</f>
        <v>6.2.1.2.</v>
      </c>
      <c r="C117" s="109" t="str">
        <f ca="1">IF(OFFSET(PO!N$12,ROW(C117)-ROW(C$12),0)=0,"",OFFSET(PO!N$12,ROW(C117)-ROW(C$12),0))</f>
        <v>Transporte de mistura betuminosa a quente com caminhão com caçamba térmica de 6 m³ - rodovia pavimentada (20KM)</v>
      </c>
      <c r="D117" s="111" t="str">
        <f ca="1">IF(OFFSET(PO!O$12,ROW(D117)-ROW(D$12),0)=0,"",OFFSET(PO!O$12,ROW(D117)-ROW(D$12),0))</f>
        <v>T</v>
      </c>
      <c r="E117" s="140">
        <f ca="1">IF($A117&lt;&gt;"Serviço",0,ROUND(SUMIF($F$9:$P$9,"&lt;&gt;",$F117:$P117),15-13*PO!$X$3))</f>
        <v>2100</v>
      </c>
      <c r="F117" s="360">
        <f ca="1">OFFSET(PO!$P$12,ROW($E117)-ROW(F$12),0)</f>
        <v>2100</v>
      </c>
      <c r="G117" s="360"/>
      <c r="H117" s="360"/>
      <c r="I117" s="360"/>
      <c r="J117" s="360"/>
      <c r="K117" s="360"/>
      <c r="L117" s="360"/>
      <c r="M117" s="360"/>
      <c r="N117" s="360"/>
      <c r="O117" s="360"/>
      <c r="U117" s="182"/>
    </row>
    <row r="118" spans="1:21" s="1" customFormat="1" ht="39.6" x14ac:dyDescent="0.25">
      <c r="A118" s="110" t="str">
        <f ca="1">OFFSET(PO!J$12,ROW(A118)-ROW($A$12),0)</f>
        <v>Serviço</v>
      </c>
      <c r="B118" s="112" t="str">
        <f ca="1">IF($A118=0,"",OFFSET(PO!K$12,ROW(B118)-ROW(B$12),0))</f>
        <v>6.2.1.3.</v>
      </c>
      <c r="C118" s="109" t="str">
        <f ca="1">IF(OFFSET(PO!N$12,ROW(C118)-ROW(C$12),0)=0,"",OFFSET(PO!N$12,ROW(C118)-ROW(C$12),0))</f>
        <v>TRANSPORTE COM CAMINHÃO TANQUE DE TRANSPORTE DE MATERIAL ASFÁLTICO DE 30000 L, EM VIA URBANA PAVIMENTADA, DMT ATÉ 30KM (UNIDADE: TXKM). AF_07/2020</v>
      </c>
      <c r="D118" s="111" t="str">
        <f ca="1">IF(OFFSET(PO!O$12,ROW(D118)-ROW(D$12),0)=0,"",OFFSET(PO!O$12,ROW(D118)-ROW(D$12),0))</f>
        <v>TXKM</v>
      </c>
      <c r="E118" s="140">
        <f ca="1">IF($A118&lt;&gt;"Serviço",0,ROUND(SUMIF($F$9:$P$9,"&lt;&gt;",$F118:$P118),15-13*PO!$X$3))</f>
        <v>120.96</v>
      </c>
      <c r="F118" s="360">
        <f ca="1">OFFSET(PO!$P$12,ROW($E118)-ROW(F$12),0)</f>
        <v>120.96000000000001</v>
      </c>
      <c r="G118" s="360"/>
      <c r="H118" s="360"/>
      <c r="I118" s="360"/>
      <c r="J118" s="360"/>
      <c r="K118" s="360"/>
      <c r="L118" s="360"/>
      <c r="M118" s="360"/>
      <c r="N118" s="360"/>
      <c r="O118" s="360"/>
      <c r="U118" s="182"/>
    </row>
    <row r="119" spans="1:21" s="1" customFormat="1" x14ac:dyDescent="0.25">
      <c r="A119" s="110" t="str">
        <f ca="1">OFFSET(PO!J$12,ROW(A119)-ROW($A$12),0)</f>
        <v>Nível 2</v>
      </c>
      <c r="B119" s="112" t="str">
        <f ca="1">IF($A119=0,"",OFFSET(PO!K$12,ROW(B119)-ROW(B$12),0))</f>
        <v>6.3.</v>
      </c>
      <c r="C119" s="109" t="str">
        <f ca="1">IF(OFFSET(PO!N$12,ROW(C119)-ROW(C$12),0)=0,"",OFFSET(PO!N$12,ROW(C119)-ROW(C$12),0))</f>
        <v>SINALIZAÇÃO</v>
      </c>
      <c r="D119" s="111" t="str">
        <f ca="1">IF(OFFSET(PO!O$12,ROW(D119)-ROW(D$12),0)=0,"",OFFSET(PO!O$12,ROW(D119)-ROW(D$12),0))</f>
        <v/>
      </c>
      <c r="E119" s="140">
        <f ca="1">IF($A119&lt;&gt;"Serviço",0,ROUND(SUMIF($F$9:$P$9,"&lt;&gt;",$F119:$P119),15-13*PO!$X$3))</f>
        <v>0</v>
      </c>
      <c r="F119" s="360">
        <f ca="1">OFFSET(PO!$P$12,ROW($E119)-ROW(F$12),0)</f>
        <v>0</v>
      </c>
      <c r="G119" s="360"/>
      <c r="H119" s="360"/>
      <c r="I119" s="360"/>
      <c r="J119" s="360"/>
      <c r="K119" s="360"/>
      <c r="L119" s="360"/>
      <c r="M119" s="360"/>
      <c r="N119" s="360"/>
      <c r="O119" s="360"/>
      <c r="U119" s="182"/>
    </row>
    <row r="120" spans="1:21" s="1" customFormat="1" ht="52.8" x14ac:dyDescent="0.25">
      <c r="A120" s="110" t="str">
        <f ca="1">OFFSET(PO!J$12,ROW(A120)-ROW($A$12),0)</f>
        <v>Serviço</v>
      </c>
      <c r="B120" s="112" t="str">
        <f ca="1">IF($A120=0,"",OFFSET(PO!K$12,ROW(B120)-ROW(B$12),0))</f>
        <v>6.3.0.1.</v>
      </c>
      <c r="C120" s="109" t="str">
        <f ca="1">IF(OFFSET(PO!N$12,ROW(C120)-ROW(C$12),0)=0,"",OFFSET(PO!N$12,ROW(C120)-ROW(C$12),0))</f>
        <v>PINTURA DE EIXO VIÁRIO SOBRE ASFALTO COM TINTA RETRORREFLETIVA A BASE DE RESINA ACRÍLICA COM MICROESFERAS DE VIDRO, APLICAÇÃO MECÂNICA COM DEMARCADORA AUTOPROPELIDA. AF_05/2021</v>
      </c>
      <c r="D120" s="111" t="str">
        <f ca="1">IF(OFFSET(PO!O$12,ROW(D120)-ROW(D$12),0)=0,"",OFFSET(PO!O$12,ROW(D120)-ROW(D$12),0))</f>
        <v>M</v>
      </c>
      <c r="E120" s="140">
        <f ca="1">IF($A120&lt;&gt;"Serviço",0,ROUND(SUMIF($F$9:$P$9,"&lt;&gt;",$F120:$P120),15-13*PO!$X$3))</f>
        <v>240</v>
      </c>
      <c r="F120" s="360">
        <f ca="1">OFFSET(PO!$P$12,ROW($E120)-ROW(F$12),0)</f>
        <v>240</v>
      </c>
      <c r="G120" s="360"/>
      <c r="H120" s="360"/>
      <c r="I120" s="360"/>
      <c r="J120" s="360"/>
      <c r="K120" s="360"/>
      <c r="L120" s="360"/>
      <c r="M120" s="360"/>
      <c r="N120" s="360"/>
      <c r="O120" s="360"/>
      <c r="U120" s="182"/>
    </row>
    <row r="121" spans="1:21" s="1" customFormat="1" x14ac:dyDescent="0.25">
      <c r="A121" s="69"/>
      <c r="B121" s="69"/>
      <c r="C121" s="69"/>
      <c r="D121" s="69"/>
      <c r="E121" s="69"/>
      <c r="F121" s="69"/>
      <c r="G121" s="69"/>
      <c r="H121" s="69"/>
      <c r="I121" s="69"/>
      <c r="J121" s="69"/>
      <c r="K121" s="69"/>
      <c r="L121" s="69"/>
      <c r="M121" s="69"/>
      <c r="N121" s="69"/>
      <c r="O121" s="69"/>
      <c r="U121" s="69"/>
    </row>
    <row r="122" spans="1:21" s="1" customFormat="1" x14ac:dyDescent="0.25">
      <c r="B122" s="4"/>
      <c r="C122" s="10"/>
      <c r="D122" s="4"/>
      <c r="E122" s="12"/>
      <c r="F122" s="12"/>
      <c r="G122" s="12"/>
      <c r="H122" s="12"/>
      <c r="I122" s="12"/>
      <c r="J122" s="12"/>
      <c r="K122" s="12"/>
      <c r="L122" s="12"/>
      <c r="M122" s="12"/>
      <c r="N122" s="12"/>
      <c r="O122" s="12"/>
      <c r="U122" s="12"/>
    </row>
    <row r="123" spans="1:21" s="1" customFormat="1" x14ac:dyDescent="0.25">
      <c r="B123" s="330" t="str">
        <f>PO!$K$132</f>
        <v>BENTO GONÇALVES/RS</v>
      </c>
      <c r="C123" s="330"/>
      <c r="D123" s="4"/>
      <c r="E123" s="12"/>
      <c r="F123" s="12"/>
      <c r="G123" s="12"/>
      <c r="H123" s="12"/>
      <c r="I123" s="12"/>
      <c r="J123" s="12"/>
      <c r="K123" s="12"/>
      <c r="L123" s="12"/>
      <c r="M123" s="12"/>
      <c r="N123" s="12"/>
      <c r="O123" s="12"/>
      <c r="U123" s="12"/>
    </row>
    <row r="124" spans="1:21" s="1" customFormat="1" x14ac:dyDescent="0.25">
      <c r="B124" s="98" t="s">
        <v>120</v>
      </c>
      <c r="C124" s="10"/>
      <c r="D124" s="4"/>
      <c r="E124" s="12"/>
      <c r="F124" s="12"/>
      <c r="G124" s="12"/>
      <c r="H124" s="12"/>
      <c r="I124" s="12"/>
      <c r="J124" s="12"/>
      <c r="K124" s="12"/>
      <c r="L124" s="12"/>
      <c r="M124" s="12"/>
      <c r="N124" s="12"/>
      <c r="O124" s="12"/>
      <c r="U124" s="12"/>
    </row>
    <row r="125" spans="1:21" s="1" customFormat="1" x14ac:dyDescent="0.25">
      <c r="B125" s="10"/>
      <c r="C125" s="10"/>
      <c r="D125" s="4"/>
      <c r="E125" s="12"/>
      <c r="F125" s="12"/>
      <c r="G125" s="12"/>
      <c r="H125" s="12"/>
      <c r="I125" s="12"/>
      <c r="J125" s="12"/>
      <c r="K125" s="12"/>
      <c r="L125" s="12"/>
      <c r="M125" s="12"/>
      <c r="N125" s="12"/>
      <c r="O125" s="12"/>
      <c r="U125" s="12"/>
    </row>
    <row r="126" spans="1:21" s="1" customFormat="1" x14ac:dyDescent="0.25">
      <c r="B126" s="331">
        <f ca="1">PO!$K$135</f>
        <v>45699</v>
      </c>
      <c r="C126" s="331"/>
      <c r="D126" s="4"/>
      <c r="E126" s="12"/>
      <c r="F126" s="12"/>
      <c r="G126" s="12"/>
      <c r="H126" s="12"/>
      <c r="I126" s="12"/>
      <c r="J126" s="12"/>
      <c r="K126" s="12"/>
      <c r="L126" s="12"/>
      <c r="M126" s="12"/>
      <c r="N126" s="12"/>
      <c r="O126" s="12"/>
      <c r="U126" s="12"/>
    </row>
    <row r="127" spans="1:21" s="1" customFormat="1" x14ac:dyDescent="0.25">
      <c r="B127" s="120" t="s">
        <v>121</v>
      </c>
      <c r="C127" s="121"/>
      <c r="D127" s="4"/>
      <c r="E127" s="12"/>
      <c r="F127" s="12"/>
      <c r="G127" s="12"/>
      <c r="H127" s="12"/>
      <c r="I127" s="12"/>
      <c r="J127" s="12"/>
      <c r="K127" s="12"/>
      <c r="L127" s="12"/>
      <c r="M127" s="12"/>
      <c r="N127" s="12"/>
      <c r="O127" s="12"/>
      <c r="U127" s="12"/>
    </row>
  </sheetData>
  <sheetProtection password="C95B" sheet="1" objects="1" scenarios="1"/>
  <mergeCells count="2">
    <mergeCell ref="B123:C123"/>
    <mergeCell ref="B126:C126"/>
  </mergeCells>
  <phoneticPr fontId="25" type="noConversion"/>
  <conditionalFormatting sqref="D11:E11 D27:E29 D32:E37 D13:E15 D19:E19 D116:E120 D21:E25">
    <cfRule type="expression" dxfId="338" priority="2413" stopIfTrue="1">
      <formula>$A11="Meta"</formula>
    </cfRule>
    <cfRule type="expression" dxfId="337" priority="2414" stopIfTrue="1">
      <formula>$A11&lt;&gt;"Serviço"</formula>
    </cfRule>
  </conditionalFormatting>
  <conditionalFormatting sqref="C11 C27:C29 C32:C37 C13:C15 C19 C116:C120 C21:C25">
    <cfRule type="expression" dxfId="336" priority="2415" stopIfTrue="1">
      <formula>$A11="Meta"</formula>
    </cfRule>
    <cfRule type="expression" dxfId="335" priority="2416" stopIfTrue="1">
      <formula>$A11&lt;&gt;"Serviço"</formula>
    </cfRule>
  </conditionalFormatting>
  <conditionalFormatting sqref="A11:B11 A27:B29 A32:B37 A13:B15 A19:B19 A116:B120 A21:B25">
    <cfRule type="expression" dxfId="334" priority="2417" stopIfTrue="1">
      <formula>$A11="Meta"</formula>
    </cfRule>
    <cfRule type="expression" dxfId="333" priority="2418" stopIfTrue="1">
      <formula>LEFT($A11,5)="Nível"</formula>
    </cfRule>
    <cfRule type="expression" dxfId="332" priority="2419" stopIfTrue="1">
      <formula>$A11=0</formula>
    </cfRule>
  </conditionalFormatting>
  <conditionalFormatting sqref="U11 U13:U16 F13:O16 F18:O19 U18:U19 U101:U103 F101:O103 U21:U37 F21:O37 F105:O120 U105:U120">
    <cfRule type="expression" dxfId="331" priority="2429" stopIfTrue="1">
      <formula>$A11="Meta"</formula>
    </cfRule>
    <cfRule type="expression" dxfId="330" priority="2430" stopIfTrue="1">
      <formula>OR(F$9=0,$A11&lt;&gt;"Serviço")</formula>
    </cfRule>
    <cfRule type="expression" dxfId="329" priority="2431" stopIfTrue="1">
      <formula>TipoOrçamento="Licitado"</formula>
    </cfRule>
  </conditionalFormatting>
  <conditionalFormatting sqref="U9">
    <cfRule type="expression" dxfId="328" priority="1851" stopIfTrue="1">
      <formula>AND(T9=0,U9=0)</formula>
    </cfRule>
    <cfRule type="expression" dxfId="327" priority="1852" stopIfTrue="1">
      <formula>TipoOrçamento="Licitado"</formula>
    </cfRule>
  </conditionalFormatting>
  <conditionalFormatting sqref="F11:O11">
    <cfRule type="expression" dxfId="326" priority="1811" stopIfTrue="1">
      <formula>$A11="Meta"</formula>
    </cfRule>
    <cfRule type="expression" dxfId="325" priority="1812" stopIfTrue="1">
      <formula>OR(F$9=0,$A11&lt;&gt;"Serviço")</formula>
    </cfRule>
    <cfRule type="expression" dxfId="324" priority="1813" stopIfTrue="1">
      <formula>TipoOrçamento="Licitado"</formula>
    </cfRule>
  </conditionalFormatting>
  <conditionalFormatting sqref="F9:O9">
    <cfRule type="expression" dxfId="323" priority="1809" stopIfTrue="1">
      <formula>AND(E9=0,F9=0)</formula>
    </cfRule>
    <cfRule type="expression" dxfId="322" priority="1810" stopIfTrue="1">
      <formula>TipoOrçamento="Licitado"</formula>
    </cfRule>
  </conditionalFormatting>
  <conditionalFormatting sqref="D26:E26">
    <cfRule type="expression" dxfId="321" priority="323" stopIfTrue="1">
      <formula>$A26="Meta"</formula>
    </cfRule>
    <cfRule type="expression" dxfId="320" priority="324" stopIfTrue="1">
      <formula>$A26&lt;&gt;"Serviço"</formula>
    </cfRule>
  </conditionalFormatting>
  <conditionalFormatting sqref="C26">
    <cfRule type="expression" dxfId="319" priority="325" stopIfTrue="1">
      <formula>$A26="Meta"</formula>
    </cfRule>
    <cfRule type="expression" dxfId="318" priority="326" stopIfTrue="1">
      <formula>$A26&lt;&gt;"Serviço"</formula>
    </cfRule>
  </conditionalFormatting>
  <conditionalFormatting sqref="A26:B26">
    <cfRule type="expression" dxfId="317" priority="327" stopIfTrue="1">
      <formula>$A26="Meta"</formula>
    </cfRule>
    <cfRule type="expression" dxfId="316" priority="328" stopIfTrue="1">
      <formula>LEFT($A26,5)="Nível"</formula>
    </cfRule>
    <cfRule type="expression" dxfId="315" priority="329" stopIfTrue="1">
      <formula>$A26=0</formula>
    </cfRule>
  </conditionalFormatting>
  <conditionalFormatting sqref="D30:E31">
    <cfRule type="expression" dxfId="314" priority="310" stopIfTrue="1">
      <formula>$A30="Meta"</formula>
    </cfRule>
    <cfRule type="expression" dxfId="313" priority="311" stopIfTrue="1">
      <formula>$A30&lt;&gt;"Serviço"</formula>
    </cfRule>
  </conditionalFormatting>
  <conditionalFormatting sqref="C30:C31">
    <cfRule type="expression" dxfId="312" priority="312" stopIfTrue="1">
      <formula>$A30="Meta"</formula>
    </cfRule>
    <cfRule type="expression" dxfId="311" priority="313" stopIfTrue="1">
      <formula>$A30&lt;&gt;"Serviço"</formula>
    </cfRule>
  </conditionalFormatting>
  <conditionalFormatting sqref="A30:B31">
    <cfRule type="expression" dxfId="310" priority="314" stopIfTrue="1">
      <formula>$A30="Meta"</formula>
    </cfRule>
    <cfRule type="expression" dxfId="309" priority="315" stopIfTrue="1">
      <formula>LEFT($A30,5)="Nível"</formula>
    </cfRule>
    <cfRule type="expression" dxfId="308" priority="316" stopIfTrue="1">
      <formula>$A30=0</formula>
    </cfRule>
  </conditionalFormatting>
  <conditionalFormatting sqref="D18:E18">
    <cfRule type="expression" dxfId="307" priority="297" stopIfTrue="1">
      <formula>$A18="Meta"</formula>
    </cfRule>
    <cfRule type="expression" dxfId="306" priority="298" stopIfTrue="1">
      <formula>$A18&lt;&gt;"Serviço"</formula>
    </cfRule>
  </conditionalFormatting>
  <conditionalFormatting sqref="C18">
    <cfRule type="expression" dxfId="305" priority="299" stopIfTrue="1">
      <formula>$A18="Meta"</formula>
    </cfRule>
    <cfRule type="expression" dxfId="304" priority="300" stopIfTrue="1">
      <formula>$A18&lt;&gt;"Serviço"</formula>
    </cfRule>
  </conditionalFormatting>
  <conditionalFormatting sqref="A18:B18">
    <cfRule type="expression" dxfId="303" priority="301" stopIfTrue="1">
      <formula>$A18="Meta"</formula>
    </cfRule>
    <cfRule type="expression" dxfId="302" priority="302" stopIfTrue="1">
      <formula>LEFT($A18,5)="Nível"</formula>
    </cfRule>
    <cfRule type="expression" dxfId="301" priority="303" stopIfTrue="1">
      <formula>$A18=0</formula>
    </cfRule>
  </conditionalFormatting>
  <conditionalFormatting sqref="D16:E16">
    <cfRule type="expression" dxfId="300" priority="271" stopIfTrue="1">
      <formula>$A16="Meta"</formula>
    </cfRule>
    <cfRule type="expression" dxfId="299" priority="272" stopIfTrue="1">
      <formula>$A16&lt;&gt;"Serviço"</formula>
    </cfRule>
  </conditionalFormatting>
  <conditionalFormatting sqref="C16">
    <cfRule type="expression" dxfId="298" priority="273" stopIfTrue="1">
      <formula>$A16="Meta"</formula>
    </cfRule>
    <cfRule type="expression" dxfId="297" priority="274" stopIfTrue="1">
      <formula>$A16&lt;&gt;"Serviço"</formula>
    </cfRule>
  </conditionalFormatting>
  <conditionalFormatting sqref="A16:B16">
    <cfRule type="expression" dxfId="296" priority="275" stopIfTrue="1">
      <formula>$A16="Meta"</formula>
    </cfRule>
    <cfRule type="expression" dxfId="295" priority="276" stopIfTrue="1">
      <formula>LEFT($A16,5)="Nível"</formula>
    </cfRule>
    <cfRule type="expression" dxfId="294" priority="277" stopIfTrue="1">
      <formula>$A16=0</formula>
    </cfRule>
  </conditionalFormatting>
  <conditionalFormatting sqref="D17:E17">
    <cfRule type="expression" dxfId="293" priority="258" stopIfTrue="1">
      <formula>$A17="Meta"</formula>
    </cfRule>
    <cfRule type="expression" dxfId="292" priority="259" stopIfTrue="1">
      <formula>$A17&lt;&gt;"Serviço"</formula>
    </cfRule>
  </conditionalFormatting>
  <conditionalFormatting sqref="C17">
    <cfRule type="expression" dxfId="291" priority="260" stopIfTrue="1">
      <formula>$A17="Meta"</formula>
    </cfRule>
    <cfRule type="expression" dxfId="290" priority="261" stopIfTrue="1">
      <formula>$A17&lt;&gt;"Serviço"</formula>
    </cfRule>
  </conditionalFormatting>
  <conditionalFormatting sqref="A17:B17">
    <cfRule type="expression" dxfId="289" priority="262" stopIfTrue="1">
      <formula>$A17="Meta"</formula>
    </cfRule>
    <cfRule type="expression" dxfId="288" priority="263" stopIfTrue="1">
      <formula>LEFT($A17,5)="Nível"</formula>
    </cfRule>
    <cfRule type="expression" dxfId="287" priority="264" stopIfTrue="1">
      <formula>$A17=0</formula>
    </cfRule>
  </conditionalFormatting>
  <conditionalFormatting sqref="U17">
    <cfRule type="expression" dxfId="286" priority="265" stopIfTrue="1">
      <formula>$A17="Meta"</formula>
    </cfRule>
    <cfRule type="expression" dxfId="285" priority="266" stopIfTrue="1">
      <formula>OR(U$9=0,$A17&lt;&gt;"Serviço")</formula>
    </cfRule>
    <cfRule type="expression" dxfId="284" priority="267" stopIfTrue="1">
      <formula>TipoOrçamento="Licitado"</formula>
    </cfRule>
  </conditionalFormatting>
  <conditionalFormatting sqref="F17:O17">
    <cfRule type="expression" dxfId="283" priority="255" stopIfTrue="1">
      <formula>$A17="Meta"</formula>
    </cfRule>
    <cfRule type="expression" dxfId="282" priority="256" stopIfTrue="1">
      <formula>OR(F$9=0,$A17&lt;&gt;"Serviço")</formula>
    </cfRule>
    <cfRule type="expression" dxfId="281" priority="257" stopIfTrue="1">
      <formula>TipoOrçamento="Licitado"</formula>
    </cfRule>
  </conditionalFormatting>
  <conditionalFormatting sqref="D48:E50 D53:E58 D40:E40 D42:E46">
    <cfRule type="expression" dxfId="280" priority="232" stopIfTrue="1">
      <formula>$A40="Meta"</formula>
    </cfRule>
    <cfRule type="expression" dxfId="279" priority="233" stopIfTrue="1">
      <formula>$A40&lt;&gt;"Serviço"</formula>
    </cfRule>
  </conditionalFormatting>
  <conditionalFormatting sqref="C48:C50 C53:C58 C40 C42:C46">
    <cfRule type="expression" dxfId="278" priority="234" stopIfTrue="1">
      <formula>$A40="Meta"</formula>
    </cfRule>
    <cfRule type="expression" dxfId="277" priority="235" stopIfTrue="1">
      <formula>$A40&lt;&gt;"Serviço"</formula>
    </cfRule>
  </conditionalFormatting>
  <conditionalFormatting sqref="A48:B50 A53:B58 A40:B40 A42:B46">
    <cfRule type="expression" dxfId="276" priority="236" stopIfTrue="1">
      <formula>$A40="Meta"</formula>
    </cfRule>
    <cfRule type="expression" dxfId="275" priority="237" stopIfTrue="1">
      <formula>LEFT($A40,5)="Nível"</formula>
    </cfRule>
    <cfRule type="expression" dxfId="274" priority="238" stopIfTrue="1">
      <formula>$A40=0</formula>
    </cfRule>
  </conditionalFormatting>
  <conditionalFormatting sqref="F39:O40 U39:U40 U42:U58 F42:O58">
    <cfRule type="expression" dxfId="273" priority="239" stopIfTrue="1">
      <formula>$A39="Meta"</formula>
    </cfRule>
    <cfRule type="expression" dxfId="272" priority="240" stopIfTrue="1">
      <formula>OR(F$9=0,$A39&lt;&gt;"Serviço")</formula>
    </cfRule>
    <cfRule type="expression" dxfId="271" priority="241" stopIfTrue="1">
      <formula>TipoOrçamento="Licitado"</formula>
    </cfRule>
  </conditionalFormatting>
  <conditionalFormatting sqref="D47:E47">
    <cfRule type="expression" dxfId="270" priority="225" stopIfTrue="1">
      <formula>$A47="Meta"</formula>
    </cfRule>
    <cfRule type="expression" dxfId="269" priority="226" stopIfTrue="1">
      <formula>$A47&lt;&gt;"Serviço"</formula>
    </cfRule>
  </conditionalFormatting>
  <conditionalFormatting sqref="C47">
    <cfRule type="expression" dxfId="268" priority="227" stopIfTrue="1">
      <formula>$A47="Meta"</formula>
    </cfRule>
    <cfRule type="expression" dxfId="267" priority="228" stopIfTrue="1">
      <formula>$A47&lt;&gt;"Serviço"</formula>
    </cfRule>
  </conditionalFormatting>
  <conditionalFormatting sqref="A47:B47">
    <cfRule type="expression" dxfId="266" priority="229" stopIfTrue="1">
      <formula>$A47="Meta"</formula>
    </cfRule>
    <cfRule type="expression" dxfId="265" priority="230" stopIfTrue="1">
      <formula>LEFT($A47,5)="Nível"</formula>
    </cfRule>
    <cfRule type="expression" dxfId="264" priority="231" stopIfTrue="1">
      <formula>$A47=0</formula>
    </cfRule>
  </conditionalFormatting>
  <conditionalFormatting sqref="D51:E52">
    <cfRule type="expression" dxfId="263" priority="218" stopIfTrue="1">
      <formula>$A51="Meta"</formula>
    </cfRule>
    <cfRule type="expression" dxfId="262" priority="219" stopIfTrue="1">
      <formula>$A51&lt;&gt;"Serviço"</formula>
    </cfRule>
  </conditionalFormatting>
  <conditionalFormatting sqref="C51:C52">
    <cfRule type="expression" dxfId="261" priority="220" stopIfTrue="1">
      <formula>$A51="Meta"</formula>
    </cfRule>
    <cfRule type="expression" dxfId="260" priority="221" stopIfTrue="1">
      <formula>$A51&lt;&gt;"Serviço"</formula>
    </cfRule>
  </conditionalFormatting>
  <conditionalFormatting sqref="A51:B52">
    <cfRule type="expression" dxfId="259" priority="222" stopIfTrue="1">
      <formula>$A51="Meta"</formula>
    </cfRule>
    <cfRule type="expression" dxfId="258" priority="223" stopIfTrue="1">
      <formula>LEFT($A51,5)="Nível"</formula>
    </cfRule>
    <cfRule type="expression" dxfId="257" priority="224" stopIfTrue="1">
      <formula>$A51=0</formula>
    </cfRule>
  </conditionalFormatting>
  <conditionalFormatting sqref="D39:E39">
    <cfRule type="expression" dxfId="256" priority="211" stopIfTrue="1">
      <formula>$A39="Meta"</formula>
    </cfRule>
    <cfRule type="expression" dxfId="255" priority="212" stopIfTrue="1">
      <formula>$A39&lt;&gt;"Serviço"</formula>
    </cfRule>
  </conditionalFormatting>
  <conditionalFormatting sqref="C39">
    <cfRule type="expression" dxfId="254" priority="213" stopIfTrue="1">
      <formula>$A39="Meta"</formula>
    </cfRule>
    <cfRule type="expression" dxfId="253" priority="214" stopIfTrue="1">
      <formula>$A39&lt;&gt;"Serviço"</formula>
    </cfRule>
  </conditionalFormatting>
  <conditionalFormatting sqref="A39:B39">
    <cfRule type="expression" dxfId="252" priority="215" stopIfTrue="1">
      <formula>$A39="Meta"</formula>
    </cfRule>
    <cfRule type="expression" dxfId="251" priority="216" stopIfTrue="1">
      <formula>LEFT($A39,5)="Nível"</formula>
    </cfRule>
    <cfRule type="expression" dxfId="250" priority="217" stopIfTrue="1">
      <formula>$A39=0</formula>
    </cfRule>
  </conditionalFormatting>
  <conditionalFormatting sqref="D38:E38">
    <cfRule type="expression" dxfId="249" priority="201" stopIfTrue="1">
      <formula>$A38="Meta"</formula>
    </cfRule>
    <cfRule type="expression" dxfId="248" priority="202" stopIfTrue="1">
      <formula>$A38&lt;&gt;"Serviço"</formula>
    </cfRule>
  </conditionalFormatting>
  <conditionalFormatting sqref="C38">
    <cfRule type="expression" dxfId="247" priority="203" stopIfTrue="1">
      <formula>$A38="Meta"</formula>
    </cfRule>
    <cfRule type="expression" dxfId="246" priority="204" stopIfTrue="1">
      <formula>$A38&lt;&gt;"Serviço"</formula>
    </cfRule>
  </conditionalFormatting>
  <conditionalFormatting sqref="A38:B38">
    <cfRule type="expression" dxfId="245" priority="205" stopIfTrue="1">
      <formula>$A38="Meta"</formula>
    </cfRule>
    <cfRule type="expression" dxfId="244" priority="206" stopIfTrue="1">
      <formula>LEFT($A38,5)="Nível"</formula>
    </cfRule>
    <cfRule type="expression" dxfId="243" priority="207" stopIfTrue="1">
      <formula>$A38=0</formula>
    </cfRule>
  </conditionalFormatting>
  <conditionalFormatting sqref="U38">
    <cfRule type="expression" dxfId="242" priority="208" stopIfTrue="1">
      <formula>$A38="Meta"</formula>
    </cfRule>
    <cfRule type="expression" dxfId="241" priority="209" stopIfTrue="1">
      <formula>OR(U$9=0,$A38&lt;&gt;"Serviço")</formula>
    </cfRule>
    <cfRule type="expression" dxfId="240" priority="210" stopIfTrue="1">
      <formula>TipoOrçamento="Licitado"</formula>
    </cfRule>
  </conditionalFormatting>
  <conditionalFormatting sqref="F38:O38">
    <cfRule type="expression" dxfId="239" priority="198" stopIfTrue="1">
      <formula>$A38="Meta"</formula>
    </cfRule>
    <cfRule type="expression" dxfId="238" priority="199" stopIfTrue="1">
      <formula>OR(F$9=0,$A38&lt;&gt;"Serviço")</formula>
    </cfRule>
    <cfRule type="expression" dxfId="237" priority="200" stopIfTrue="1">
      <formula>TipoOrçamento="Licitado"</formula>
    </cfRule>
  </conditionalFormatting>
  <conditionalFormatting sqref="D69:E71 D74:E79 D61:E61 D63:E67">
    <cfRule type="expression" dxfId="236" priority="188" stopIfTrue="1">
      <formula>$A61="Meta"</formula>
    </cfRule>
    <cfRule type="expression" dxfId="235" priority="189" stopIfTrue="1">
      <formula>$A61&lt;&gt;"Serviço"</formula>
    </cfRule>
  </conditionalFormatting>
  <conditionalFormatting sqref="C69:C71 C74:C79 C61 C63:C67">
    <cfRule type="expression" dxfId="234" priority="190" stopIfTrue="1">
      <formula>$A61="Meta"</formula>
    </cfRule>
    <cfRule type="expression" dxfId="233" priority="191" stopIfTrue="1">
      <formula>$A61&lt;&gt;"Serviço"</formula>
    </cfRule>
  </conditionalFormatting>
  <conditionalFormatting sqref="A69:B71 A74:B79 A61:B61 A63:B67">
    <cfRule type="expression" dxfId="232" priority="192" stopIfTrue="1">
      <formula>$A61="Meta"</formula>
    </cfRule>
    <cfRule type="expression" dxfId="231" priority="193" stopIfTrue="1">
      <formula>LEFT($A61,5)="Nível"</formula>
    </cfRule>
    <cfRule type="expression" dxfId="230" priority="194" stopIfTrue="1">
      <formula>$A61=0</formula>
    </cfRule>
  </conditionalFormatting>
  <conditionalFormatting sqref="F60:O61 U60:U61 U63:U79 F63:O79">
    <cfRule type="expression" dxfId="229" priority="195" stopIfTrue="1">
      <formula>$A60="Meta"</formula>
    </cfRule>
    <cfRule type="expression" dxfId="228" priority="196" stopIfTrue="1">
      <formula>OR(F$9=0,$A60&lt;&gt;"Serviço")</formula>
    </cfRule>
    <cfRule type="expression" dxfId="227" priority="197" stopIfTrue="1">
      <formula>TipoOrçamento="Licitado"</formula>
    </cfRule>
  </conditionalFormatting>
  <conditionalFormatting sqref="D68:E68">
    <cfRule type="expression" dxfId="226" priority="181" stopIfTrue="1">
      <formula>$A68="Meta"</formula>
    </cfRule>
    <cfRule type="expression" dxfId="225" priority="182" stopIfTrue="1">
      <formula>$A68&lt;&gt;"Serviço"</formula>
    </cfRule>
  </conditionalFormatting>
  <conditionalFormatting sqref="C68">
    <cfRule type="expression" dxfId="224" priority="183" stopIfTrue="1">
      <formula>$A68="Meta"</formula>
    </cfRule>
    <cfRule type="expression" dxfId="223" priority="184" stopIfTrue="1">
      <formula>$A68&lt;&gt;"Serviço"</formula>
    </cfRule>
  </conditionalFormatting>
  <conditionalFormatting sqref="A68:B68">
    <cfRule type="expression" dxfId="222" priority="185" stopIfTrue="1">
      <formula>$A68="Meta"</formula>
    </cfRule>
    <cfRule type="expression" dxfId="221" priority="186" stopIfTrue="1">
      <formula>LEFT($A68,5)="Nível"</formula>
    </cfRule>
    <cfRule type="expression" dxfId="220" priority="187" stopIfTrue="1">
      <formula>$A68=0</formula>
    </cfRule>
  </conditionalFormatting>
  <conditionalFormatting sqref="D72:E73">
    <cfRule type="expression" dxfId="219" priority="174" stopIfTrue="1">
      <formula>$A72="Meta"</formula>
    </cfRule>
    <cfRule type="expression" dxfId="218" priority="175" stopIfTrue="1">
      <formula>$A72&lt;&gt;"Serviço"</formula>
    </cfRule>
  </conditionalFormatting>
  <conditionalFormatting sqref="C72:C73">
    <cfRule type="expression" dxfId="217" priority="176" stopIfTrue="1">
      <formula>$A72="Meta"</formula>
    </cfRule>
    <cfRule type="expression" dxfId="216" priority="177" stopIfTrue="1">
      <formula>$A72&lt;&gt;"Serviço"</formula>
    </cfRule>
  </conditionalFormatting>
  <conditionalFormatting sqref="A72:B73">
    <cfRule type="expression" dxfId="215" priority="178" stopIfTrue="1">
      <formula>$A72="Meta"</formula>
    </cfRule>
    <cfRule type="expression" dxfId="214" priority="179" stopIfTrue="1">
      <formula>LEFT($A72,5)="Nível"</formula>
    </cfRule>
    <cfRule type="expression" dxfId="213" priority="180" stopIfTrue="1">
      <formula>$A72=0</formula>
    </cfRule>
  </conditionalFormatting>
  <conditionalFormatting sqref="D60:E60">
    <cfRule type="expression" dxfId="212" priority="167" stopIfTrue="1">
      <formula>$A60="Meta"</formula>
    </cfRule>
    <cfRule type="expression" dxfId="211" priority="168" stopIfTrue="1">
      <formula>$A60&lt;&gt;"Serviço"</formula>
    </cfRule>
  </conditionalFormatting>
  <conditionalFormatting sqref="C60">
    <cfRule type="expression" dxfId="210" priority="169" stopIfTrue="1">
      <formula>$A60="Meta"</formula>
    </cfRule>
    <cfRule type="expression" dxfId="209" priority="170" stopIfTrue="1">
      <formula>$A60&lt;&gt;"Serviço"</formula>
    </cfRule>
  </conditionalFormatting>
  <conditionalFormatting sqref="A60:B60">
    <cfRule type="expression" dxfId="208" priority="171" stopIfTrue="1">
      <formula>$A60="Meta"</formula>
    </cfRule>
    <cfRule type="expression" dxfId="207" priority="172" stopIfTrue="1">
      <formula>LEFT($A60,5)="Nível"</formula>
    </cfRule>
    <cfRule type="expression" dxfId="206" priority="173" stopIfTrue="1">
      <formula>$A60=0</formula>
    </cfRule>
  </conditionalFormatting>
  <conditionalFormatting sqref="D59:E59">
    <cfRule type="expression" dxfId="205" priority="157" stopIfTrue="1">
      <formula>$A59="Meta"</formula>
    </cfRule>
    <cfRule type="expression" dxfId="204" priority="158" stopIfTrue="1">
      <formula>$A59&lt;&gt;"Serviço"</formula>
    </cfRule>
  </conditionalFormatting>
  <conditionalFormatting sqref="C59">
    <cfRule type="expression" dxfId="203" priority="159" stopIfTrue="1">
      <formula>$A59="Meta"</formula>
    </cfRule>
    <cfRule type="expression" dxfId="202" priority="160" stopIfTrue="1">
      <formula>$A59&lt;&gt;"Serviço"</formula>
    </cfRule>
  </conditionalFormatting>
  <conditionalFormatting sqref="A59:B59">
    <cfRule type="expression" dxfId="201" priority="161" stopIfTrue="1">
      <formula>$A59="Meta"</formula>
    </cfRule>
    <cfRule type="expression" dxfId="200" priority="162" stopIfTrue="1">
      <formula>LEFT($A59,5)="Nível"</formula>
    </cfRule>
    <cfRule type="expression" dxfId="199" priority="163" stopIfTrue="1">
      <formula>$A59=0</formula>
    </cfRule>
  </conditionalFormatting>
  <conditionalFormatting sqref="U59">
    <cfRule type="expression" dxfId="198" priority="164" stopIfTrue="1">
      <formula>$A59="Meta"</formula>
    </cfRule>
    <cfRule type="expression" dxfId="197" priority="165" stopIfTrue="1">
      <formula>OR(U$9=0,$A59&lt;&gt;"Serviço")</formula>
    </cfRule>
    <cfRule type="expression" dxfId="196" priority="166" stopIfTrue="1">
      <formula>TipoOrçamento="Licitado"</formula>
    </cfRule>
  </conditionalFormatting>
  <conditionalFormatting sqref="F59:O59">
    <cfRule type="expression" dxfId="195" priority="154" stopIfTrue="1">
      <formula>$A59="Meta"</formula>
    </cfRule>
    <cfRule type="expression" dxfId="194" priority="155" stopIfTrue="1">
      <formula>OR(F$9=0,$A59&lt;&gt;"Serviço")</formula>
    </cfRule>
    <cfRule type="expression" dxfId="193" priority="156" stopIfTrue="1">
      <formula>TipoOrçamento="Licitado"</formula>
    </cfRule>
  </conditionalFormatting>
  <conditionalFormatting sqref="D90:E92 D95:E100 D82:E82 D84:E88">
    <cfRule type="expression" dxfId="192" priority="144" stopIfTrue="1">
      <formula>$A82="Meta"</formula>
    </cfRule>
    <cfRule type="expression" dxfId="191" priority="145" stopIfTrue="1">
      <formula>$A82&lt;&gt;"Serviço"</formula>
    </cfRule>
  </conditionalFormatting>
  <conditionalFormatting sqref="C90:C92 C95:C100 C82 C84:C88">
    <cfRule type="expression" dxfId="190" priority="146" stopIfTrue="1">
      <formula>$A82="Meta"</formula>
    </cfRule>
    <cfRule type="expression" dxfId="189" priority="147" stopIfTrue="1">
      <formula>$A82&lt;&gt;"Serviço"</formula>
    </cfRule>
  </conditionalFormatting>
  <conditionalFormatting sqref="A90:B92 A95:B100 A82:B82 A84:B88">
    <cfRule type="expression" dxfId="188" priority="148" stopIfTrue="1">
      <formula>$A82="Meta"</formula>
    </cfRule>
    <cfRule type="expression" dxfId="187" priority="149" stopIfTrue="1">
      <formula>LEFT($A82,5)="Nível"</formula>
    </cfRule>
    <cfRule type="expression" dxfId="186" priority="150" stopIfTrue="1">
      <formula>$A82=0</formula>
    </cfRule>
  </conditionalFormatting>
  <conditionalFormatting sqref="F81:O82 U81:U82 U84:U100 F84:O100">
    <cfRule type="expression" dxfId="185" priority="151" stopIfTrue="1">
      <formula>$A81="Meta"</formula>
    </cfRule>
    <cfRule type="expression" dxfId="184" priority="152" stopIfTrue="1">
      <formula>OR(F$9=0,$A81&lt;&gt;"Serviço")</formula>
    </cfRule>
    <cfRule type="expression" dxfId="183" priority="153" stopIfTrue="1">
      <formula>TipoOrçamento="Licitado"</formula>
    </cfRule>
  </conditionalFormatting>
  <conditionalFormatting sqref="D89:E89">
    <cfRule type="expression" dxfId="182" priority="137" stopIfTrue="1">
      <formula>$A89="Meta"</formula>
    </cfRule>
    <cfRule type="expression" dxfId="181" priority="138" stopIfTrue="1">
      <formula>$A89&lt;&gt;"Serviço"</formula>
    </cfRule>
  </conditionalFormatting>
  <conditionalFormatting sqref="C89">
    <cfRule type="expression" dxfId="180" priority="139" stopIfTrue="1">
      <formula>$A89="Meta"</formula>
    </cfRule>
    <cfRule type="expression" dxfId="179" priority="140" stopIfTrue="1">
      <formula>$A89&lt;&gt;"Serviço"</formula>
    </cfRule>
  </conditionalFormatting>
  <conditionalFormatting sqref="A89:B89">
    <cfRule type="expression" dxfId="178" priority="141" stopIfTrue="1">
      <formula>$A89="Meta"</formula>
    </cfRule>
    <cfRule type="expression" dxfId="177" priority="142" stopIfTrue="1">
      <formula>LEFT($A89,5)="Nível"</formula>
    </cfRule>
    <cfRule type="expression" dxfId="176" priority="143" stopIfTrue="1">
      <formula>$A89=0</formula>
    </cfRule>
  </conditionalFormatting>
  <conditionalFormatting sqref="D93:E94">
    <cfRule type="expression" dxfId="175" priority="130" stopIfTrue="1">
      <formula>$A93="Meta"</formula>
    </cfRule>
    <cfRule type="expression" dxfId="174" priority="131" stopIfTrue="1">
      <formula>$A93&lt;&gt;"Serviço"</formula>
    </cfRule>
  </conditionalFormatting>
  <conditionalFormatting sqref="C93:C94">
    <cfRule type="expression" dxfId="173" priority="132" stopIfTrue="1">
      <formula>$A93="Meta"</formula>
    </cfRule>
    <cfRule type="expression" dxfId="172" priority="133" stopIfTrue="1">
      <formula>$A93&lt;&gt;"Serviço"</formula>
    </cfRule>
  </conditionalFormatting>
  <conditionalFormatting sqref="A93:B94">
    <cfRule type="expression" dxfId="171" priority="134" stopIfTrue="1">
      <formula>$A93="Meta"</formula>
    </cfRule>
    <cfRule type="expression" dxfId="170" priority="135" stopIfTrue="1">
      <formula>LEFT($A93,5)="Nível"</formula>
    </cfRule>
    <cfRule type="expression" dxfId="169" priority="136" stopIfTrue="1">
      <formula>$A93=0</formula>
    </cfRule>
  </conditionalFormatting>
  <conditionalFormatting sqref="D81:E81">
    <cfRule type="expression" dxfId="168" priority="123" stopIfTrue="1">
      <formula>$A81="Meta"</formula>
    </cfRule>
    <cfRule type="expression" dxfId="167" priority="124" stopIfTrue="1">
      <formula>$A81&lt;&gt;"Serviço"</formula>
    </cfRule>
  </conditionalFormatting>
  <conditionalFormatting sqref="C81">
    <cfRule type="expression" dxfId="166" priority="125" stopIfTrue="1">
      <formula>$A81="Meta"</formula>
    </cfRule>
    <cfRule type="expression" dxfId="165" priority="126" stopIfTrue="1">
      <formula>$A81&lt;&gt;"Serviço"</formula>
    </cfRule>
  </conditionalFormatting>
  <conditionalFormatting sqref="A81:B81">
    <cfRule type="expression" dxfId="164" priority="127" stopIfTrue="1">
      <formula>$A81="Meta"</formula>
    </cfRule>
    <cfRule type="expression" dxfId="163" priority="128" stopIfTrue="1">
      <formula>LEFT($A81,5)="Nível"</formula>
    </cfRule>
    <cfRule type="expression" dxfId="162" priority="129" stopIfTrue="1">
      <formula>$A81=0</formula>
    </cfRule>
  </conditionalFormatting>
  <conditionalFormatting sqref="D80:E80">
    <cfRule type="expression" dxfId="161" priority="113" stopIfTrue="1">
      <formula>$A80="Meta"</formula>
    </cfRule>
    <cfRule type="expression" dxfId="160" priority="114" stopIfTrue="1">
      <formula>$A80&lt;&gt;"Serviço"</formula>
    </cfRule>
  </conditionalFormatting>
  <conditionalFormatting sqref="C80">
    <cfRule type="expression" dxfId="159" priority="115" stopIfTrue="1">
      <formula>$A80="Meta"</formula>
    </cfRule>
    <cfRule type="expression" dxfId="158" priority="116" stopIfTrue="1">
      <formula>$A80&lt;&gt;"Serviço"</formula>
    </cfRule>
  </conditionalFormatting>
  <conditionalFormatting sqref="A80:B80">
    <cfRule type="expression" dxfId="157" priority="117" stopIfTrue="1">
      <formula>$A80="Meta"</formula>
    </cfRule>
    <cfRule type="expression" dxfId="156" priority="118" stopIfTrue="1">
      <formula>LEFT($A80,5)="Nível"</formula>
    </cfRule>
    <cfRule type="expression" dxfId="155" priority="119" stopIfTrue="1">
      <formula>$A80=0</formula>
    </cfRule>
  </conditionalFormatting>
  <conditionalFormatting sqref="U80">
    <cfRule type="expression" dxfId="154" priority="120" stopIfTrue="1">
      <formula>$A80="Meta"</formula>
    </cfRule>
    <cfRule type="expression" dxfId="153" priority="121" stopIfTrue="1">
      <formula>OR(U$9=0,$A80&lt;&gt;"Serviço")</formula>
    </cfRule>
    <cfRule type="expression" dxfId="152" priority="122" stopIfTrue="1">
      <formula>TipoOrçamento="Licitado"</formula>
    </cfRule>
  </conditionalFormatting>
  <conditionalFormatting sqref="F80:O80">
    <cfRule type="expression" dxfId="151" priority="110" stopIfTrue="1">
      <formula>$A80="Meta"</formula>
    </cfRule>
    <cfRule type="expression" dxfId="150" priority="111" stopIfTrue="1">
      <formula>OR(F$9=0,$A80&lt;&gt;"Serviço")</formula>
    </cfRule>
    <cfRule type="expression" dxfId="149" priority="112" stopIfTrue="1">
      <formula>TipoOrçamento="Licitado"</formula>
    </cfRule>
  </conditionalFormatting>
  <conditionalFormatting sqref="D111:E113 D103:E103 D105:E109">
    <cfRule type="expression" dxfId="148" priority="100" stopIfTrue="1">
      <formula>$A103="Meta"</formula>
    </cfRule>
    <cfRule type="expression" dxfId="147" priority="101" stopIfTrue="1">
      <formula>$A103&lt;&gt;"Serviço"</formula>
    </cfRule>
  </conditionalFormatting>
  <conditionalFormatting sqref="C111:C113 C103 C105:C109">
    <cfRule type="expression" dxfId="146" priority="102" stopIfTrue="1">
      <formula>$A103="Meta"</formula>
    </cfRule>
    <cfRule type="expression" dxfId="145" priority="103" stopIfTrue="1">
      <formula>$A103&lt;&gt;"Serviço"</formula>
    </cfRule>
  </conditionalFormatting>
  <conditionalFormatting sqref="A111:B113 A103:B103 A105:B109">
    <cfRule type="expression" dxfId="144" priority="104" stopIfTrue="1">
      <formula>$A103="Meta"</formula>
    </cfRule>
    <cfRule type="expression" dxfId="143" priority="105" stopIfTrue="1">
      <formula>LEFT($A103,5)="Nível"</formula>
    </cfRule>
    <cfRule type="expression" dxfId="142" priority="106" stopIfTrue="1">
      <formula>$A103=0</formula>
    </cfRule>
  </conditionalFormatting>
  <conditionalFormatting sqref="D110:E110">
    <cfRule type="expression" dxfId="141" priority="93" stopIfTrue="1">
      <formula>$A110="Meta"</formula>
    </cfRule>
    <cfRule type="expression" dxfId="140" priority="94" stopIfTrue="1">
      <formula>$A110&lt;&gt;"Serviço"</formula>
    </cfRule>
  </conditionalFormatting>
  <conditionalFormatting sqref="C110">
    <cfRule type="expression" dxfId="139" priority="95" stopIfTrue="1">
      <formula>$A110="Meta"</formula>
    </cfRule>
    <cfRule type="expression" dxfId="138" priority="96" stopIfTrue="1">
      <formula>$A110&lt;&gt;"Serviço"</formula>
    </cfRule>
  </conditionalFormatting>
  <conditionalFormatting sqref="A110:B110">
    <cfRule type="expression" dxfId="137" priority="97" stopIfTrue="1">
      <formula>$A110="Meta"</formula>
    </cfRule>
    <cfRule type="expression" dxfId="136" priority="98" stopIfTrue="1">
      <formula>LEFT($A110,5)="Nível"</formula>
    </cfRule>
    <cfRule type="expression" dxfId="135" priority="99" stopIfTrue="1">
      <formula>$A110=0</formula>
    </cfRule>
  </conditionalFormatting>
  <conditionalFormatting sqref="D114:E115">
    <cfRule type="expression" dxfId="134" priority="86" stopIfTrue="1">
      <formula>$A114="Meta"</formula>
    </cfRule>
    <cfRule type="expression" dxfId="133" priority="87" stopIfTrue="1">
      <formula>$A114&lt;&gt;"Serviço"</formula>
    </cfRule>
  </conditionalFormatting>
  <conditionalFormatting sqref="C114:C115">
    <cfRule type="expression" dxfId="132" priority="88" stopIfTrue="1">
      <formula>$A114="Meta"</formula>
    </cfRule>
    <cfRule type="expression" dxfId="131" priority="89" stopIfTrue="1">
      <formula>$A114&lt;&gt;"Serviço"</formula>
    </cfRule>
  </conditionalFormatting>
  <conditionalFormatting sqref="A114:B115">
    <cfRule type="expression" dxfId="130" priority="90" stopIfTrue="1">
      <formula>$A114="Meta"</formula>
    </cfRule>
    <cfRule type="expression" dxfId="129" priority="91" stopIfTrue="1">
      <formula>LEFT($A114,5)="Nível"</formula>
    </cfRule>
    <cfRule type="expression" dxfId="128" priority="92" stopIfTrue="1">
      <formula>$A114=0</formula>
    </cfRule>
  </conditionalFormatting>
  <conditionalFormatting sqref="D102:E102">
    <cfRule type="expression" dxfId="127" priority="79" stopIfTrue="1">
      <formula>$A102="Meta"</formula>
    </cfRule>
    <cfRule type="expression" dxfId="126" priority="80" stopIfTrue="1">
      <formula>$A102&lt;&gt;"Serviço"</formula>
    </cfRule>
  </conditionalFormatting>
  <conditionalFormatting sqref="C102">
    <cfRule type="expression" dxfId="125" priority="81" stopIfTrue="1">
      <formula>$A102="Meta"</formula>
    </cfRule>
    <cfRule type="expression" dxfId="124" priority="82" stopIfTrue="1">
      <formula>$A102&lt;&gt;"Serviço"</formula>
    </cfRule>
  </conditionalFormatting>
  <conditionalFormatting sqref="A102:B102">
    <cfRule type="expression" dxfId="123" priority="83" stopIfTrue="1">
      <formula>$A102="Meta"</formula>
    </cfRule>
    <cfRule type="expression" dxfId="122" priority="84" stopIfTrue="1">
      <formula>LEFT($A102,5)="Nível"</formula>
    </cfRule>
    <cfRule type="expression" dxfId="121" priority="85" stopIfTrue="1">
      <formula>$A102=0</formula>
    </cfRule>
  </conditionalFormatting>
  <conditionalFormatting sqref="D101:E101">
    <cfRule type="expression" dxfId="120" priority="69" stopIfTrue="1">
      <formula>$A101="Meta"</formula>
    </cfRule>
    <cfRule type="expression" dxfId="119" priority="70" stopIfTrue="1">
      <formula>$A101&lt;&gt;"Serviço"</formula>
    </cfRule>
  </conditionalFormatting>
  <conditionalFormatting sqref="C101">
    <cfRule type="expression" dxfId="118" priority="71" stopIfTrue="1">
      <formula>$A101="Meta"</formula>
    </cfRule>
    <cfRule type="expression" dxfId="117" priority="72" stopIfTrue="1">
      <formula>$A101&lt;&gt;"Serviço"</formula>
    </cfRule>
  </conditionalFormatting>
  <conditionalFormatting sqref="A101:B101">
    <cfRule type="expression" dxfId="116" priority="73" stopIfTrue="1">
      <formula>$A101="Meta"</formula>
    </cfRule>
    <cfRule type="expression" dxfId="115" priority="74" stopIfTrue="1">
      <formula>LEFT($A101,5)="Nível"</formula>
    </cfRule>
    <cfRule type="expression" dxfId="114" priority="75" stopIfTrue="1">
      <formula>$A101=0</formula>
    </cfRule>
  </conditionalFormatting>
  <conditionalFormatting sqref="D20:E20">
    <cfRule type="expression" dxfId="113" priority="56" stopIfTrue="1">
      <formula>$A20="Meta"</formula>
    </cfRule>
    <cfRule type="expression" dxfId="112" priority="57" stopIfTrue="1">
      <formula>$A20&lt;&gt;"Serviço"</formula>
    </cfRule>
  </conditionalFormatting>
  <conditionalFormatting sqref="C20">
    <cfRule type="expression" dxfId="111" priority="58" stopIfTrue="1">
      <formula>$A20="Meta"</formula>
    </cfRule>
    <cfRule type="expression" dxfId="110" priority="59" stopIfTrue="1">
      <formula>$A20&lt;&gt;"Serviço"</formula>
    </cfRule>
  </conditionalFormatting>
  <conditionalFormatting sqref="A20:B20">
    <cfRule type="expression" dxfId="109" priority="60" stopIfTrue="1">
      <formula>$A20="Meta"</formula>
    </cfRule>
    <cfRule type="expression" dxfId="108" priority="61" stopIfTrue="1">
      <formula>LEFT($A20,5)="Nível"</formula>
    </cfRule>
    <cfRule type="expression" dxfId="107" priority="62" stopIfTrue="1">
      <formula>$A20=0</formula>
    </cfRule>
  </conditionalFormatting>
  <conditionalFormatting sqref="U20">
    <cfRule type="expression" dxfId="106" priority="63" stopIfTrue="1">
      <formula>$A20="Meta"</formula>
    </cfRule>
    <cfRule type="expression" dxfId="105" priority="64" stopIfTrue="1">
      <formula>OR(U$9=0,$A20&lt;&gt;"Serviço")</formula>
    </cfRule>
    <cfRule type="expression" dxfId="104" priority="65" stopIfTrue="1">
      <formula>TipoOrçamento="Licitado"</formula>
    </cfRule>
  </conditionalFormatting>
  <conditionalFormatting sqref="F20:O20">
    <cfRule type="expression" dxfId="103" priority="53" stopIfTrue="1">
      <formula>$A20="Meta"</formula>
    </cfRule>
    <cfRule type="expression" dxfId="102" priority="54" stopIfTrue="1">
      <formula>OR(F$9=0,$A20&lt;&gt;"Serviço")</formula>
    </cfRule>
    <cfRule type="expression" dxfId="101" priority="55" stopIfTrue="1">
      <formula>TipoOrçamento="Licitado"</formula>
    </cfRule>
  </conditionalFormatting>
  <conditionalFormatting sqref="D41:E41">
    <cfRule type="expression" dxfId="100" priority="43" stopIfTrue="1">
      <formula>$A41="Meta"</formula>
    </cfRule>
    <cfRule type="expression" dxfId="99" priority="44" stopIfTrue="1">
      <formula>$A41&lt;&gt;"Serviço"</formula>
    </cfRule>
  </conditionalFormatting>
  <conditionalFormatting sqref="C41">
    <cfRule type="expression" dxfId="98" priority="45" stopIfTrue="1">
      <formula>$A41="Meta"</formula>
    </cfRule>
    <cfRule type="expression" dxfId="97" priority="46" stopIfTrue="1">
      <formula>$A41&lt;&gt;"Serviço"</formula>
    </cfRule>
  </conditionalFormatting>
  <conditionalFormatting sqref="A41:B41">
    <cfRule type="expression" dxfId="96" priority="47" stopIfTrue="1">
      <formula>$A41="Meta"</formula>
    </cfRule>
    <cfRule type="expression" dxfId="95" priority="48" stopIfTrue="1">
      <formula>LEFT($A41,5)="Nível"</formula>
    </cfRule>
    <cfRule type="expression" dxfId="94" priority="49" stopIfTrue="1">
      <formula>$A41=0</formula>
    </cfRule>
  </conditionalFormatting>
  <conditionalFormatting sqref="U41">
    <cfRule type="expression" dxfId="93" priority="50" stopIfTrue="1">
      <formula>$A41="Meta"</formula>
    </cfRule>
    <cfRule type="expression" dxfId="92" priority="51" stopIfTrue="1">
      <formula>OR(U$9=0,$A41&lt;&gt;"Serviço")</formula>
    </cfRule>
    <cfRule type="expression" dxfId="91" priority="52" stopIfTrue="1">
      <formula>TipoOrçamento="Licitado"</formula>
    </cfRule>
  </conditionalFormatting>
  <conditionalFormatting sqref="F41:O41">
    <cfRule type="expression" dxfId="90" priority="40" stopIfTrue="1">
      <formula>$A41="Meta"</formula>
    </cfRule>
    <cfRule type="expression" dxfId="89" priority="41" stopIfTrue="1">
      <formula>OR(F$9=0,$A41&lt;&gt;"Serviço")</formula>
    </cfRule>
    <cfRule type="expression" dxfId="88" priority="42" stopIfTrue="1">
      <formula>TipoOrçamento="Licitado"</formula>
    </cfRule>
  </conditionalFormatting>
  <conditionalFormatting sqref="D62:E62">
    <cfRule type="expression" dxfId="87" priority="30" stopIfTrue="1">
      <formula>$A62="Meta"</formula>
    </cfRule>
    <cfRule type="expression" dxfId="86" priority="31" stopIfTrue="1">
      <formula>$A62&lt;&gt;"Serviço"</formula>
    </cfRule>
  </conditionalFormatting>
  <conditionalFormatting sqref="C62">
    <cfRule type="expression" dxfId="85" priority="32" stopIfTrue="1">
      <formula>$A62="Meta"</formula>
    </cfRule>
    <cfRule type="expression" dxfId="84" priority="33" stopIfTrue="1">
      <formula>$A62&lt;&gt;"Serviço"</formula>
    </cfRule>
  </conditionalFormatting>
  <conditionalFormatting sqref="A62:B62">
    <cfRule type="expression" dxfId="83" priority="34" stopIfTrue="1">
      <formula>$A62="Meta"</formula>
    </cfRule>
    <cfRule type="expression" dxfId="82" priority="35" stopIfTrue="1">
      <formula>LEFT($A62,5)="Nível"</formula>
    </cfRule>
    <cfRule type="expression" dxfId="81" priority="36" stopIfTrue="1">
      <formula>$A62=0</formula>
    </cfRule>
  </conditionalFormatting>
  <conditionalFormatting sqref="U62">
    <cfRule type="expression" dxfId="80" priority="37" stopIfTrue="1">
      <formula>$A62="Meta"</formula>
    </cfRule>
    <cfRule type="expression" dxfId="79" priority="38" stopIfTrue="1">
      <formula>OR(U$9=0,$A62&lt;&gt;"Serviço")</formula>
    </cfRule>
    <cfRule type="expression" dxfId="78" priority="39" stopIfTrue="1">
      <formula>TipoOrçamento="Licitado"</formula>
    </cfRule>
  </conditionalFormatting>
  <conditionalFormatting sqref="F62:O62">
    <cfRule type="expression" dxfId="77" priority="27" stopIfTrue="1">
      <formula>$A62="Meta"</formula>
    </cfRule>
    <cfRule type="expression" dxfId="76" priority="28" stopIfTrue="1">
      <formula>OR(F$9=0,$A62&lt;&gt;"Serviço")</formula>
    </cfRule>
    <cfRule type="expression" dxfId="75" priority="29" stopIfTrue="1">
      <formula>TipoOrçamento="Licitado"</formula>
    </cfRule>
  </conditionalFormatting>
  <conditionalFormatting sqref="D83:E83">
    <cfRule type="expression" dxfId="74" priority="17" stopIfTrue="1">
      <formula>$A83="Meta"</formula>
    </cfRule>
    <cfRule type="expression" dxfId="73" priority="18" stopIfTrue="1">
      <formula>$A83&lt;&gt;"Serviço"</formula>
    </cfRule>
  </conditionalFormatting>
  <conditionalFormatting sqref="C83">
    <cfRule type="expression" dxfId="72" priority="19" stopIfTrue="1">
      <formula>$A83="Meta"</formula>
    </cfRule>
    <cfRule type="expression" dxfId="71" priority="20" stopIfTrue="1">
      <formula>$A83&lt;&gt;"Serviço"</formula>
    </cfRule>
  </conditionalFormatting>
  <conditionalFormatting sqref="A83:B83">
    <cfRule type="expression" dxfId="70" priority="21" stopIfTrue="1">
      <formula>$A83="Meta"</formula>
    </cfRule>
    <cfRule type="expression" dxfId="69" priority="22" stopIfTrue="1">
      <formula>LEFT($A83,5)="Nível"</formula>
    </cfRule>
    <cfRule type="expression" dxfId="68" priority="23" stopIfTrue="1">
      <formula>$A83=0</formula>
    </cfRule>
  </conditionalFormatting>
  <conditionalFormatting sqref="U83">
    <cfRule type="expression" dxfId="67" priority="24" stopIfTrue="1">
      <formula>$A83="Meta"</formula>
    </cfRule>
    <cfRule type="expression" dxfId="66" priority="25" stopIfTrue="1">
      <formula>OR(U$9=0,$A83&lt;&gt;"Serviço")</formula>
    </cfRule>
    <cfRule type="expression" dxfId="65" priority="26" stopIfTrue="1">
      <formula>TipoOrçamento="Licitado"</formula>
    </cfRule>
  </conditionalFormatting>
  <conditionalFormatting sqref="F83:O83">
    <cfRule type="expression" dxfId="64" priority="14" stopIfTrue="1">
      <formula>$A83="Meta"</formula>
    </cfRule>
    <cfRule type="expression" dxfId="63" priority="15" stopIfTrue="1">
      <formula>OR(F$9=0,$A83&lt;&gt;"Serviço")</formula>
    </cfRule>
    <cfRule type="expression" dxfId="62" priority="16" stopIfTrue="1">
      <formula>TipoOrçamento="Licitado"</formula>
    </cfRule>
  </conditionalFormatting>
  <conditionalFormatting sqref="D104:E104">
    <cfRule type="expression" dxfId="61" priority="4" stopIfTrue="1">
      <formula>$A104="Meta"</formula>
    </cfRule>
    <cfRule type="expression" dxfId="60" priority="5" stopIfTrue="1">
      <formula>$A104&lt;&gt;"Serviço"</formula>
    </cfRule>
  </conditionalFormatting>
  <conditionalFormatting sqref="C104">
    <cfRule type="expression" dxfId="59" priority="6" stopIfTrue="1">
      <formula>$A104="Meta"</formula>
    </cfRule>
    <cfRule type="expression" dxfId="58" priority="7" stopIfTrue="1">
      <formula>$A104&lt;&gt;"Serviço"</formula>
    </cfRule>
  </conditionalFormatting>
  <conditionalFormatting sqref="A104:B104">
    <cfRule type="expression" dxfId="57" priority="8" stopIfTrue="1">
      <formula>$A104="Meta"</formula>
    </cfRule>
    <cfRule type="expression" dxfId="56" priority="9" stopIfTrue="1">
      <formula>LEFT($A104,5)="Nível"</formula>
    </cfRule>
    <cfRule type="expression" dxfId="55" priority="10" stopIfTrue="1">
      <formula>$A104=0</formula>
    </cfRule>
  </conditionalFormatting>
  <conditionalFormatting sqref="U104">
    <cfRule type="expression" dxfId="54" priority="11" stopIfTrue="1">
      <formula>$A104="Meta"</formula>
    </cfRule>
    <cfRule type="expression" dxfId="53" priority="12" stopIfTrue="1">
      <formula>OR(U$9=0,$A104&lt;&gt;"Serviço")</formula>
    </cfRule>
    <cfRule type="expression" dxfId="52" priority="13" stopIfTrue="1">
      <formula>TipoOrçamento="Licitado"</formula>
    </cfRule>
  </conditionalFormatting>
  <conditionalFormatting sqref="F104:O104">
    <cfRule type="expression" dxfId="51" priority="1" stopIfTrue="1">
      <formula>$A104="Meta"</formula>
    </cfRule>
    <cfRule type="expression" dxfId="50" priority="2" stopIfTrue="1">
      <formula>OR(F$9=0,$A104&lt;&gt;"Serviço")</formula>
    </cfRule>
    <cfRule type="expression" dxfId="49"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120 U14:U12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126 B123"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pageSetUpPr fitToPage="1"/>
  </sheetPr>
  <dimension ref="A1:AK91"/>
  <sheetViews>
    <sheetView showGridLines="0" view="pageBreakPreview" topLeftCell="L1" zoomScale="70" zoomScaleNormal="100" zoomScaleSheetLayoutView="70" workbookViewId="0">
      <selection activeCell="S67" sqref="S67"/>
    </sheetView>
  </sheetViews>
  <sheetFormatPr defaultColWidth="9.109375" defaultRowHeight="13.2" x14ac:dyDescent="0.25"/>
  <cols>
    <col min="1" max="4" width="9.109375" style="33" hidden="1" customWidth="1"/>
    <col min="5" max="8" width="5.6640625" style="33" hidden="1" customWidth="1"/>
    <col min="9" max="10" width="6.6640625" style="33" hidden="1" customWidth="1"/>
    <col min="11" max="11" width="10.6640625" style="33" hidden="1" customWidth="1"/>
    <col min="12" max="12" width="10.6640625" style="33" customWidth="1"/>
    <col min="13" max="13" width="40.5546875" style="33" customWidth="1"/>
    <col min="14" max="14" width="16.44140625" style="37" customWidth="1"/>
    <col min="15" max="15" width="16.5546875" style="33" bestFit="1" customWidth="1"/>
    <col min="16" max="23" width="15.6640625" style="33" customWidth="1"/>
    <col min="24" max="24" width="0.88671875" style="36" customWidth="1"/>
    <col min="25" max="28" width="9.109375" style="33"/>
    <col min="29" max="29" width="15.6640625" style="33" hidden="1" customWidth="1"/>
    <col min="30" max="16384" width="9.109375" style="33"/>
  </cols>
  <sheetData>
    <row r="1" spans="1:29" s="32" customFormat="1" ht="12.9" customHeight="1" x14ac:dyDescent="0.25">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5">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5">
      <c r="A3"/>
      <c r="B3"/>
      <c r="C3"/>
      <c r="D3"/>
      <c r="E3"/>
      <c r="F3"/>
      <c r="G3"/>
      <c r="H3"/>
      <c r="I3"/>
      <c r="J3"/>
      <c r="K3"/>
      <c r="L3"/>
      <c r="M3"/>
      <c r="N3"/>
      <c r="O3"/>
      <c r="P3"/>
      <c r="Q3"/>
      <c r="R3"/>
      <c r="S3" s="1"/>
      <c r="T3"/>
      <c r="U3"/>
      <c r="V3"/>
      <c r="W3"/>
      <c r="X3"/>
      <c r="AC3"/>
    </row>
    <row r="4" spans="1:29" s="32" customFormat="1" ht="24.9" customHeight="1" x14ac:dyDescent="0.25">
      <c r="A4"/>
      <c r="B4"/>
      <c r="C4"/>
      <c r="D4"/>
      <c r="E4"/>
      <c r="F4"/>
      <c r="G4"/>
      <c r="H4"/>
      <c r="I4"/>
      <c r="J4"/>
      <c r="K4"/>
      <c r="L4"/>
      <c r="M4"/>
      <c r="N4"/>
      <c r="O4"/>
      <c r="P4"/>
      <c r="Q4"/>
      <c r="R4"/>
      <c r="S4"/>
      <c r="T4"/>
      <c r="U4"/>
      <c r="V4"/>
      <c r="W4"/>
      <c r="X4"/>
      <c r="AC4"/>
    </row>
    <row r="5" spans="1:29" s="32" customFormat="1" ht="24.9" customHeight="1" x14ac:dyDescent="0.25">
      <c r="A5"/>
      <c r="B5"/>
      <c r="C5"/>
      <c r="D5"/>
      <c r="E5"/>
      <c r="F5"/>
      <c r="G5"/>
      <c r="H5"/>
      <c r="I5"/>
      <c r="J5"/>
      <c r="K5"/>
      <c r="L5"/>
      <c r="M5"/>
      <c r="N5"/>
      <c r="O5"/>
      <c r="P5"/>
      <c r="Q5"/>
      <c r="R5"/>
      <c r="S5"/>
      <c r="T5"/>
      <c r="U5"/>
      <c r="V5"/>
      <c r="W5"/>
      <c r="X5"/>
      <c r="AC5"/>
    </row>
    <row r="6" spans="1:29" s="32" customFormat="1" ht="24.9" customHeight="1" x14ac:dyDescent="0.25">
      <c r="A6"/>
      <c r="B6"/>
      <c r="C6"/>
      <c r="D6"/>
      <c r="E6"/>
      <c r="F6"/>
      <c r="G6"/>
      <c r="H6"/>
      <c r="I6"/>
      <c r="J6"/>
      <c r="K6"/>
      <c r="L6"/>
      <c r="M6"/>
      <c r="N6"/>
      <c r="O6"/>
      <c r="P6"/>
      <c r="Q6"/>
      <c r="R6"/>
      <c r="S6"/>
      <c r="T6"/>
      <c r="U6"/>
      <c r="V6"/>
      <c r="W6"/>
      <c r="X6"/>
      <c r="AC6"/>
    </row>
    <row r="7" spans="1:29" s="32" customFormat="1" ht="21.75" customHeight="1" x14ac:dyDescent="0.25">
      <c r="A7"/>
      <c r="B7"/>
      <c r="C7"/>
      <c r="D7"/>
      <c r="E7"/>
      <c r="F7"/>
      <c r="G7"/>
      <c r="H7"/>
      <c r="I7"/>
      <c r="J7"/>
      <c r="K7"/>
      <c r="L7"/>
      <c r="M7"/>
      <c r="N7"/>
      <c r="O7"/>
      <c r="P7"/>
      <c r="Q7"/>
      <c r="R7"/>
      <c r="S7"/>
      <c r="T7"/>
      <c r="U7"/>
      <c r="V7"/>
      <c r="W7"/>
      <c r="X7"/>
      <c r="AC7"/>
    </row>
    <row r="8" spans="1:29" s="32" customFormat="1" ht="30" customHeight="1" x14ac:dyDescent="0.25">
      <c r="A8" s="150" t="s">
        <v>176</v>
      </c>
      <c r="B8"/>
      <c r="C8"/>
      <c r="D8"/>
      <c r="E8"/>
      <c r="F8"/>
      <c r="G8"/>
      <c r="H8"/>
      <c r="I8"/>
      <c r="J8"/>
      <c r="K8"/>
      <c r="L8" s="332" t="str">
        <f ca="1">IF(MAX($A$14:$A$82)&lt;&gt;MAX(PO!$V$12:$V$121),"ERRO: CRONOGRAMA DESATUALIZADO",IF(OR(COUNTIF($O$16:$X$16,"&gt;1")&gt;0,OFFSET($X$17,0,-1)&lt;&gt;$N$14),"ERRO: CRONOGRAMA NÃO FECHA EM 100%",""))</f>
        <v>ERRO: CRONOGRAMA NÃO FECHA EM 100%</v>
      </c>
      <c r="M8" s="332"/>
      <c r="N8" s="136" t="str">
        <f>IF(TipoOrçamento="REPROGRAMADOAC","Qtde de Medições realizadas","")</f>
        <v/>
      </c>
      <c r="O8" s="151"/>
      <c r="P8"/>
      <c r="Q8"/>
      <c r="R8"/>
      <c r="S8"/>
      <c r="T8"/>
      <c r="U8"/>
      <c r="V8"/>
      <c r="W8"/>
      <c r="X8"/>
      <c r="AC8"/>
    </row>
    <row r="9" spans="1:29" s="32" customFormat="1" ht="14.1" customHeight="1" x14ac:dyDescent="0.25">
      <c r="A9" s="141">
        <v>2</v>
      </c>
      <c r="B9"/>
      <c r="C9"/>
      <c r="D9"/>
      <c r="E9"/>
      <c r="F9"/>
      <c r="G9"/>
      <c r="H9"/>
      <c r="I9"/>
      <c r="J9"/>
      <c r="K9"/>
      <c r="L9" s="1"/>
      <c r="M9" s="1"/>
      <c r="N9" s="135">
        <v>1</v>
      </c>
      <c r="O9" s="26">
        <f>IF(AND(TipoOrçamento="REPROGRAMADOAC",$N$9&gt;0),$N$9-1,0)</f>
        <v>0</v>
      </c>
      <c r="P9" s="126">
        <f t="shared" ref="P9:AE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5">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01/10/24</v>
      </c>
      <c r="P10" s="186" t="str">
        <f ca="1">IF(AND(TipoOrçamento="REPROGRAMADOAC",$N$9&gt;0,N10="Valores Totais (R$)"),"Parcela "&amp;$N$9&amp;" Executado","Parcela "&amp;P$9&amp;CHAR(10)&amp;TEXT(DATE(YEAR(DADOS!$A$48),MONTH(DADOS!$A$48)+P$9-IF(AND(TipoOrçamento="REPROGRAMADOAC",$N$9&gt;0),$N$9,0),1),"mmm/aa"))</f>
        <v>Parcela 1
nov/24</v>
      </c>
      <c r="Q10" s="177" t="str">
        <f ca="1">IF(AND(TipoOrçamento="REPROGRAMADOAC",$N$9&gt;0,O10="Valores Totais (R$)"),"Parcela "&amp;$N$9&amp;" Executado","Parcela "&amp;Q$9&amp;CHAR(10)&amp;TEXT(DATE(YEAR(DADOS!$A$48),MONTH(DADOS!$A$48)+Q$9-IF(AND(TipoOrçamento="REPROGRAMADOAC",$N$9&gt;0),$N$9,0),1),"mmm/aa"))</f>
        <v>Parcela 2
dez/24</v>
      </c>
      <c r="R10" s="177" t="str">
        <f ca="1">IF(AND(TipoOrçamento="REPROGRAMADOAC",$N$9&gt;0,P10="Valores Totais (R$)"),"Parcela "&amp;$N$9&amp;" Executado","Parcela "&amp;R$9&amp;CHAR(10)&amp;TEXT(DATE(YEAR(DADOS!$A$48),MONTH(DADOS!$A$48)+R$9-IF(AND(TipoOrçamento="REPROGRAMADOAC",$N$9&gt;0),$N$9,0),1),"mmm/aa"))</f>
        <v>Parcela 3
jan/25</v>
      </c>
      <c r="S10" s="177" t="str">
        <f ca="1">IF(AND(TipoOrçamento="REPROGRAMADOAC",$N$9&gt;0,Q10="Valores Totais (R$)"),"Parcela "&amp;$N$9&amp;" Executado","Parcela "&amp;S$9&amp;CHAR(10)&amp;TEXT(DATE(YEAR(DADOS!$A$48),MONTH(DADOS!$A$48)+S$9-IF(AND(TipoOrçamento="REPROGRAMADOAC",$N$9&gt;0),$N$9,0),1),"mmm/aa"))</f>
        <v>Parcela 4
fev/25</v>
      </c>
      <c r="T10" s="177" t="str">
        <f ca="1">IF(AND(TipoOrçamento="REPROGRAMADOAC",$N$9&gt;0,R10="Valores Totais (R$)"),"Parcela "&amp;$N$9&amp;" Executado","Parcela "&amp;T$9&amp;CHAR(10)&amp;TEXT(DATE(YEAR(DADOS!$A$48),MONTH(DADOS!$A$48)+T$9-IF(AND(TipoOrçamento="REPROGRAMADOAC",$N$9&gt;0),$N$9,0),1),"mmm/aa"))</f>
        <v>Parcela 5
mar/25</v>
      </c>
      <c r="U10" s="177" t="str">
        <f ca="1">IF(AND(TipoOrçamento="REPROGRAMADOAC",$N$9&gt;0,S10="Valores Totais (R$)"),"Parcela "&amp;$N$9&amp;" Executado","Parcela "&amp;U$9&amp;CHAR(10)&amp;TEXT(DATE(YEAR(DADOS!$A$48),MONTH(DADOS!$A$48)+U$9-IF(AND(TipoOrçamento="REPROGRAMADOAC",$N$9&gt;0),$N$9,0),1),"mmm/aa"))</f>
        <v>Parcela 6
abr/25</v>
      </c>
      <c r="V10" s="177" t="str">
        <f ca="1">IF(AND(TipoOrçamento="REPROGRAMADOAC",$N$9&gt;0,T10="Valores Totais (R$)"),"Parcela "&amp;$N$9&amp;" Executado","Parcela "&amp;V$9&amp;CHAR(10)&amp;TEXT(DATE(YEAR(DADOS!$A$48),MONTH(DADOS!$A$48)+V$9-IF(AND(TipoOrçamento="REPROGRAMADOAC",$N$9&gt;0),$N$9,0),1),"mmm/aa"))</f>
        <v>Parcela 7
mai/25</v>
      </c>
      <c r="W10" s="189" t="str">
        <f ca="1">IF(AND(TipoOrçamento="REPROGRAMADOAC",$N$9&gt;0,U10="Valores Totais (R$)"),"Parcela "&amp;$N$9&amp;" Executado","Parcela "&amp;W$9&amp;CHAR(10)&amp;TEXT(DATE(YEAR(DADOS!$A$48),MONTH(DADOS!$A$48)+W$9-IF(AND(TipoOrçamento="REPROGRAMADOAC",$N$9&gt;0),$N$9,0),1),"mmm/aa"))</f>
        <v>Parcela 8
jun/25</v>
      </c>
      <c r="X10" s="162"/>
      <c r="AC10" s="177" t="str">
        <f ca="1">IF(AND(TipoOrçamento="REPROGRAMADOAC",$N$9&gt;0,AA10="Valores Totais (R$)"),"Parcela "&amp;$N$9&amp;" Executado","Parcela "&amp;AC$9&amp;CHAR(10)&amp;TEXT(DATE(YEAR(DADOS!$A$48),MONTH(DADOS!$A$48)+AC$9-IF(AND(TipoOrçamento="REPROGRAMADOAC",$N$9&gt;0),$N$9,0),1),"mmm/aa"))</f>
        <v>Parcela 1
nov/24</v>
      </c>
    </row>
    <row r="11" spans="1:29" customFormat="1" ht="14.25" hidden="1" customHeight="1" x14ac:dyDescent="0.25">
      <c r="A11" s="1"/>
      <c r="B11" s="1"/>
      <c r="C11" s="1"/>
      <c r="D11" s="1"/>
      <c r="E11" s="1"/>
      <c r="F11" s="1"/>
      <c r="G11" s="1"/>
      <c r="H11" s="1"/>
      <c r="I11" s="1"/>
      <c r="J11" s="1"/>
      <c r="K11" s="1"/>
      <c r="L11" s="341" t="e">
        <f ca="1">INDEX(PO!K$12:K$121,MATCH($A13,PO!$V$12:$V$121,0))</f>
        <v>#VALUE!</v>
      </c>
      <c r="M11" s="335" t="e">
        <f ca="1">INDEX(PO!N$12:N$121,MATCH($A13,PO!$V$12:$V$121,0))</f>
        <v>#VALUE!</v>
      </c>
      <c r="N11" s="333"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3.8" hidden="1" x14ac:dyDescent="0.25">
      <c r="A12" s="11"/>
      <c r="B12" s="11"/>
      <c r="C12" s="11"/>
      <c r="D12" s="11"/>
      <c r="E12" s="11"/>
      <c r="F12" s="11"/>
      <c r="G12" s="11"/>
      <c r="H12" s="11"/>
      <c r="I12" s="11"/>
      <c r="J12" s="11"/>
      <c r="K12" s="11"/>
      <c r="L12" s="342"/>
      <c r="M12" s="336"/>
      <c r="N12" s="334"/>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3.8" hidden="1" x14ac:dyDescent="0.25">
      <c r="A13" s="11" t="e">
        <f ca="1">OFFSET(A13,-CFF.NumLinha,0)+1</f>
        <v>#VALUE!</v>
      </c>
      <c r="B13" s="11" t="e">
        <f ca="1">$C13&gt;=OFFSET($C13,CFF.NumLinha,0)</f>
        <v>#VALUE!</v>
      </c>
      <c r="C13" s="11" t="e">
        <f ca="1">INDEX(PO!A$12:A$121,MATCH($A13,PO!$V$12:$V$121,0))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MATCH(0,OFFSET($D13,1,$C13,ROW($A$81)-ROW($A13)),0)</f>
        <v>#VALUE!</v>
      </c>
      <c r="J13" s="11" t="e">
        <f ca="1">MATCH(OFFSET($D13,0,$C13)+1,OFFSET($D13,1,$C13,ROW($A$81)-ROW($A13)),0)</f>
        <v>#VALUE!</v>
      </c>
      <c r="K13" s="156" t="e">
        <f ca="1">ROUND(INDEX(PO!T$12:T$121,MATCH($A13,PO!$V$12:$V$121,0)),2)+10^-12</f>
        <v>#VALUE!</v>
      </c>
      <c r="L13" s="342"/>
      <c r="M13" s="336"/>
      <c r="N13" s="334"/>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5">
      <c r="A14"/>
      <c r="B14"/>
      <c r="C14"/>
      <c r="D14"/>
      <c r="E14"/>
      <c r="F14"/>
      <c r="G14"/>
      <c r="H14"/>
      <c r="I14"/>
      <c r="J14"/>
      <c r="K14"/>
      <c r="L14" s="344" t="s">
        <v>19</v>
      </c>
      <c r="M14" s="345"/>
      <c r="N14" s="350">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5">
      <c r="A15"/>
      <c r="B15"/>
      <c r="C15"/>
      <c r="D15"/>
      <c r="E15"/>
      <c r="F15"/>
      <c r="G15"/>
      <c r="H15"/>
      <c r="I15"/>
      <c r="J15"/>
      <c r="K15"/>
      <c r="L15" s="346"/>
      <c r="M15" s="347"/>
      <c r="N15" s="351"/>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5">
      <c r="A16"/>
      <c r="B16"/>
      <c r="C16"/>
      <c r="D16"/>
      <c r="E16"/>
      <c r="F16"/>
      <c r="G16"/>
      <c r="H16"/>
      <c r="I16"/>
      <c r="J16"/>
      <c r="K16"/>
      <c r="L16" s="346"/>
      <c r="M16" s="347"/>
      <c r="N16" s="351"/>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5">
      <c r="A17" s="19">
        <v>0</v>
      </c>
      <c r="B17"/>
      <c r="C17"/>
      <c r="D17" s="19">
        <f>ROW(D$81)-ROW(D18)</f>
        <v>63</v>
      </c>
      <c r="E17"/>
      <c r="F17"/>
      <c r="G17"/>
      <c r="H17"/>
      <c r="I17"/>
      <c r="J17"/>
      <c r="K17"/>
      <c r="L17" s="348"/>
      <c r="M17" s="349"/>
      <c r="N17" s="352"/>
      <c r="O17" s="134" t="s">
        <v>20</v>
      </c>
      <c r="P17" s="169">
        <f ca="1">SUMIF(OFFSET($C17,1,0):$C$81,1,OFFSET(P17,1,0):P$81)</f>
        <v>0</v>
      </c>
      <c r="Q17" s="129">
        <f ca="1">SUMIF(OFFSET($C17,1,0):$C$81,1,OFFSET(Q17,1,0):Q$81)</f>
        <v>0</v>
      </c>
      <c r="R17" s="129">
        <f ca="1">SUMIF(OFFSET($C17,1,0):$C$81,1,OFFSET(R17,1,0):R$81)</f>
        <v>0</v>
      </c>
      <c r="S17" s="129">
        <f ca="1">SUMIF(OFFSET($C17,1,0):$C$81,1,OFFSET(S17,1,0):S$81)</f>
        <v>0</v>
      </c>
      <c r="T17" s="129">
        <f ca="1">SUMIF(OFFSET($C17,1,0):$C$81,1,OFFSET(T17,1,0):T$81)</f>
        <v>0</v>
      </c>
      <c r="U17" s="129">
        <f ca="1">SUMIF(OFFSET($C17,1,0):$C$81,1,OFFSET(U17,1,0):U$81)</f>
        <v>0</v>
      </c>
      <c r="V17" s="129">
        <f ca="1">SUMIF(OFFSET($C17,1,0):$C$81,1,OFFSET(V17,1,0):V$81)</f>
        <v>0</v>
      </c>
      <c r="W17" s="129">
        <f ca="1">SUMIF(OFFSET($C17,1,0):$C$81,1,OFFSET(W17,1,0):W$81)</f>
        <v>0</v>
      </c>
      <c r="X17" s="146"/>
      <c r="AC17" s="129">
        <f ca="1">SUMIF(OFFSET($C17,1,0):$C$81,1,OFFSET(AC17,1,0):AC$81)</f>
        <v>0</v>
      </c>
    </row>
    <row r="18" spans="1:29" customFormat="1" ht="14.25" customHeight="1" x14ac:dyDescent="0.25">
      <c r="L18" s="341" t="str">
        <f ca="1">INDEX(PO!K$12:K$121,MATCH($A20,PO!$V$12:$V$121,0))</f>
        <v>1.</v>
      </c>
      <c r="M18" s="335" t="str">
        <f ca="1">INDEX(PO!N$12:N$121,MATCH($A20,PO!$V$12:$V$121,0))</f>
        <v>SERVIÇOS INICIAIS</v>
      </c>
      <c r="N18" s="333">
        <f ca="1">IF(ROUND(K20,2)=0,K20,ROUND(K20,2))</f>
        <v>9.9999999999999998E-13</v>
      </c>
      <c r="O18" s="170" t="s">
        <v>143</v>
      </c>
      <c r="P18" s="192">
        <v>0.25</v>
      </c>
      <c r="Q18" s="193">
        <v>0.25</v>
      </c>
      <c r="R18" s="193">
        <v>0.25</v>
      </c>
      <c r="S18" s="193">
        <v>0.25</v>
      </c>
      <c r="T18" s="193">
        <v>0.08</v>
      </c>
      <c r="U18" s="193">
        <v>0.08</v>
      </c>
      <c r="V18" s="193">
        <v>0.08</v>
      </c>
      <c r="W18" s="194">
        <v>0.08</v>
      </c>
      <c r="X18" s="164" t="s">
        <v>106</v>
      </c>
      <c r="AC18" s="188">
        <f ca="1">IF($B20,0,AC19-IF(ISNUMBER(AB19),AB19,0))</f>
        <v>0</v>
      </c>
    </row>
    <row r="19" spans="1:29" customFormat="1" ht="13.8" x14ac:dyDescent="0.25">
      <c r="L19" s="342"/>
      <c r="M19" s="336"/>
      <c r="N19" s="334"/>
      <c r="O19" s="145" t="s">
        <v>145</v>
      </c>
      <c r="P19" s="165">
        <f t="shared" ref="P19:W19" ca="1" si="7">MIN(IF($B20,P18+IF(ISNUMBER(O19),O19,0),P20/$N18),1)</f>
        <v>0.25</v>
      </c>
      <c r="Q19" s="143">
        <f t="shared" ca="1" si="7"/>
        <v>0.5</v>
      </c>
      <c r="R19" s="143">
        <f t="shared" ca="1" si="7"/>
        <v>0.75</v>
      </c>
      <c r="S19" s="143">
        <f t="shared" ca="1" si="7"/>
        <v>1</v>
      </c>
      <c r="T19" s="143">
        <f t="shared" ca="1" si="7"/>
        <v>1</v>
      </c>
      <c r="U19" s="143">
        <f t="shared" ca="1" si="7"/>
        <v>1</v>
      </c>
      <c r="V19" s="143">
        <f t="shared" ca="1" si="7"/>
        <v>1</v>
      </c>
      <c r="W19" s="143">
        <f t="shared" ca="1" si="7"/>
        <v>1</v>
      </c>
      <c r="X19" s="163"/>
      <c r="AC19" s="143">
        <f ca="1">MIN(IF($B20,AC18+IF(ISNUMBER(AB19),AB19,0),AC20/$N18),1)</f>
        <v>0</v>
      </c>
    </row>
    <row r="20" spans="1:29" customFormat="1" ht="13.8" x14ac:dyDescent="0.25">
      <c r="A20" s="19">
        <f ca="1">OFFSET(A20,-CFF.NumLinha,0)+1</f>
        <v>1</v>
      </c>
      <c r="B20" t="b">
        <f ca="1">$C20&gt;=OFFSET($C20,CFF.NumLinha,0)</f>
        <v>1</v>
      </c>
      <c r="C20" s="11">
        <f ca="1">INDEX(PO!A$12:A$121,MATCH($A20,PO!$V$12:$V$121,0))</f>
        <v>1</v>
      </c>
      <c r="D20" s="11">
        <f ca="1">IF(ISERROR(J20),I20,SMALL(I20:J20,1))-1</f>
        <v>2</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MATCH(0,OFFSET($D20,1,$C20,ROW($A$81)-ROW($A20)),0)</f>
        <v>61</v>
      </c>
      <c r="J20" s="11">
        <f ca="1">MATCH(OFFSET($D20,0,$C20)+1,OFFSET($D20,1,$C20,ROW($A$81)-ROW($A20)),0)</f>
        <v>3</v>
      </c>
      <c r="K20" s="156">
        <f ca="1">ROUND(INDEX(PO!T$12:T$121,MATCH($A20,PO!$V$12:$V$121,0)),2)+10^-12</f>
        <v>9.9999999999999998E-13</v>
      </c>
      <c r="L20" s="342"/>
      <c r="M20" s="336"/>
      <c r="N20" s="334"/>
      <c r="O20" s="171" t="s">
        <v>20</v>
      </c>
      <c r="P20" s="166">
        <f t="shared" ref="P20:W20" ca="1" si="8">IF($B20,ROUND(P19*$N18,2),ROUND(SUMIF(OFFSET($B20,1,0,$D20),TRUE,OFFSET(P20,1,0,$D20))/SUMIF(OFFSET($B20,1,0,$D20),TRUE,OFFSET($K20,1,0,$D20))*$N18,2))</f>
        <v>0</v>
      </c>
      <c r="Q20" s="144">
        <f t="shared" ca="1" si="8"/>
        <v>0</v>
      </c>
      <c r="R20" s="144">
        <f t="shared" ca="1" si="8"/>
        <v>0</v>
      </c>
      <c r="S20" s="144">
        <f t="shared" ca="1" si="8"/>
        <v>0</v>
      </c>
      <c r="T20" s="144">
        <f t="shared" ca="1" si="8"/>
        <v>0</v>
      </c>
      <c r="U20" s="144">
        <f t="shared" ca="1" si="8"/>
        <v>0</v>
      </c>
      <c r="V20" s="144">
        <f t="shared" ca="1" si="8"/>
        <v>0</v>
      </c>
      <c r="W20" s="174">
        <f t="shared" ca="1" si="8"/>
        <v>0</v>
      </c>
      <c r="X20" s="163"/>
      <c r="AC20" s="144">
        <f ca="1">IF($B20,ROUND(AC19*$N18,2),ROUND(SUMIF(OFFSET($B20,1,0,$D20),TRUE,OFFSET(AC20,1,0,$D20))/SUMIF(OFFSET($B20,1,0,$D20),TRUE,OFFSET($K20,1,0,$D20))*$N18,2))</f>
        <v>0</v>
      </c>
    </row>
    <row r="21" spans="1:29" customFormat="1" ht="14.25" customHeight="1" x14ac:dyDescent="0.25">
      <c r="A21" s="1"/>
      <c r="B21" s="1"/>
      <c r="C21" s="1"/>
      <c r="D21" s="1"/>
      <c r="E21" s="1"/>
      <c r="F21" s="1"/>
      <c r="G21" s="1"/>
      <c r="H21" s="1"/>
      <c r="I21" s="1"/>
      <c r="J21" s="1"/>
      <c r="K21" s="1"/>
      <c r="L21" s="341" t="str">
        <f ca="1">INDEX(PO!K$12:K$121,MATCH($A23,PO!$V$12:$V$121,0))</f>
        <v>2.</v>
      </c>
      <c r="M21" s="335" t="str">
        <f ca="1">INDEX(PO!N$12:N$121,MATCH($A23,PO!$V$12:$V$121,0))</f>
        <v>TRECHO 1</v>
      </c>
      <c r="N21" s="333">
        <f ca="1">IF(ROUND(K23,2)=0,K23,ROUND(K23,2))</f>
        <v>9.9999999999999998E-13</v>
      </c>
      <c r="O21" s="187" t="s">
        <v>143</v>
      </c>
      <c r="P21" s="192">
        <v>0.08</v>
      </c>
      <c r="Q21" s="193">
        <v>0.08</v>
      </c>
      <c r="R21" s="193">
        <v>0.08</v>
      </c>
      <c r="S21" s="193">
        <v>0.08</v>
      </c>
      <c r="T21" s="193">
        <v>0.08</v>
      </c>
      <c r="U21" s="193">
        <v>0.08</v>
      </c>
      <c r="V21" s="193">
        <v>0.08</v>
      </c>
      <c r="W21" s="194">
        <v>0.08</v>
      </c>
      <c r="X21" s="163"/>
      <c r="AC21" s="188">
        <f ca="1">IF($B23,0,AC22-IF(ISNUMBER(AB22),AB22,0))</f>
        <v>0</v>
      </c>
    </row>
    <row r="22" spans="1:29" customFormat="1" ht="13.8" x14ac:dyDescent="0.25">
      <c r="A22" s="11"/>
      <c r="B22" s="11"/>
      <c r="C22" s="11"/>
      <c r="D22" s="11"/>
      <c r="E22" s="11"/>
      <c r="F22" s="11"/>
      <c r="G22" s="11"/>
      <c r="H22" s="11"/>
      <c r="I22" s="11"/>
      <c r="J22" s="11"/>
      <c r="K22" s="11"/>
      <c r="L22" s="342"/>
      <c r="M22" s="336"/>
      <c r="N22" s="334"/>
      <c r="O22" s="145" t="s">
        <v>145</v>
      </c>
      <c r="P22" s="165">
        <f ca="1">MIN(IF($B23,P21+IF(ISNUMBER(O22),O22,0),P23/$N21),1)</f>
        <v>0</v>
      </c>
      <c r="Q22" s="143">
        <f t="shared" ref="Q22" ca="1" si="9">MIN(IF($B23,Q21+IF(ISNUMBER(P22),P22,0),Q23/$N21),1)</f>
        <v>0</v>
      </c>
      <c r="R22" s="143">
        <f t="shared" ref="R22" ca="1" si="10">MIN(IF($B23,R21+IF(ISNUMBER(Q22),Q22,0),R23/$N21),1)</f>
        <v>0</v>
      </c>
      <c r="S22" s="143">
        <f t="shared" ref="S22" ca="1" si="11">MIN(IF($B23,S21+IF(ISNUMBER(R22),R22,0),S23/$N21),1)</f>
        <v>0</v>
      </c>
      <c r="T22" s="143">
        <f t="shared" ref="T22" ca="1" si="12">MIN(IF($B23,T21+IF(ISNUMBER(S22),S22,0),T23/$N21),1)</f>
        <v>0</v>
      </c>
      <c r="U22" s="143">
        <f t="shared" ref="U22" ca="1" si="13">MIN(IF($B23,U21+IF(ISNUMBER(T22),T22,0),U23/$N21),1)</f>
        <v>0</v>
      </c>
      <c r="V22" s="143">
        <f t="shared" ref="V22" ca="1" si="14">MIN(IF($B23,V21+IF(ISNUMBER(U22),U22,0),V23/$N21),1)</f>
        <v>0</v>
      </c>
      <c r="W22" s="143">
        <f t="shared" ref="W22" ca="1" si="15">MIN(IF($B23,W21+IF(ISNUMBER(V22),V22,0),W23/$N21),1)</f>
        <v>0</v>
      </c>
      <c r="X22" s="163"/>
      <c r="AC22" s="143">
        <f ca="1">MIN(IF($B23,AC21+IF(ISNUMBER(AB22),AB22,0),AC23/$N21),1)</f>
        <v>0</v>
      </c>
    </row>
    <row r="23" spans="1:29" customFormat="1" ht="13.8" x14ac:dyDescent="0.25">
      <c r="A23" s="11">
        <f ca="1">OFFSET(A23,-CFF.NumLinha,0)+1</f>
        <v>2</v>
      </c>
      <c r="B23" s="11" t="b">
        <f ca="1">$C23&gt;=OFFSET($C23,CFF.NumLinha,0)</f>
        <v>0</v>
      </c>
      <c r="C23" s="11">
        <f ca="1">INDEX(PO!A$12:A$121,MATCH($A23,PO!$V$12:$V$121,0))</f>
        <v>1</v>
      </c>
      <c r="D23" s="11">
        <f ca="1">IF(ISERROR(J23),I23,SMALL(I23:J23,1))-1</f>
        <v>11</v>
      </c>
      <c r="E23" s="11">
        <f ca="1">IF($C23=1,OFFSET(E23,-CFF.NumLinha,0)+1,OFFSET(E23,-CFF.NumLinha,0))</f>
        <v>2</v>
      </c>
      <c r="F23" s="11">
        <f ca="1">IF($C23=1,0,IF($C23=2,OFFSET(F23,-CFF.NumLinha,0)+1,OFFSET(F23,-CFF.NumLinha,0)))</f>
        <v>0</v>
      </c>
      <c r="G23" s="11">
        <f ca="1">IF(AND($C23&lt;=2,$C23&lt;&gt;0),0,IF($C23=3,OFFSET(G23,-CFF.NumLinha,0)+1,OFFSET(G23,-CFF.NumLinha,0)))</f>
        <v>0</v>
      </c>
      <c r="H23" s="11">
        <f ca="1">IF(AND($C23&lt;=3,$C23&lt;&gt;0),0,IF($C23=4,OFFSET(H23,-CFF.NumLinha,0)+1,OFFSET(H23,-CFF.NumLinha,0)))</f>
        <v>0</v>
      </c>
      <c r="I23" s="11">
        <f ca="1">MATCH(0,OFFSET($D23,1,$C23,ROW($A$81)-ROW($A23)),0)</f>
        <v>58</v>
      </c>
      <c r="J23" s="11">
        <f ca="1">MATCH(OFFSET($D23,0,$C23)+1,OFFSET($D23,1,$C23,ROW($A$81)-ROW($A23)),0)</f>
        <v>12</v>
      </c>
      <c r="K23" s="156">
        <f ca="1">ROUND(INDEX(PO!T$12:T$121,MATCH($A23,PO!$V$12:$V$121,0)),2)+10^-12</f>
        <v>9.9999999999999998E-13</v>
      </c>
      <c r="L23" s="342"/>
      <c r="M23" s="336"/>
      <c r="N23" s="334"/>
      <c r="O23" s="171" t="s">
        <v>20</v>
      </c>
      <c r="P23" s="166">
        <f ca="1">IF($B23,ROUND(P22*$N21,2),ROUND(SUMIF(OFFSET($B23,1,0,$D23),TRUE,OFFSET(P23,1,0,$D23))/SUMIF(OFFSET($B23,1,0,$D23),TRUE,OFFSET($K23,1,0,$D23))*$N21,2))</f>
        <v>0</v>
      </c>
      <c r="Q23" s="144">
        <f t="shared" ref="Q23:W23" ca="1" si="16">IF($B23,ROUND(Q22*$N21,2),ROUND(SUMIF(OFFSET($B23,1,0,$D23),TRUE,OFFSET(Q23,1,0,$D23))/SUMIF(OFFSET($B23,1,0,$D23),TRUE,OFFSET($K23,1,0,$D23))*$N21,2))</f>
        <v>0</v>
      </c>
      <c r="R23" s="144">
        <f t="shared" ca="1" si="16"/>
        <v>0</v>
      </c>
      <c r="S23" s="144">
        <f t="shared" ca="1" si="16"/>
        <v>0</v>
      </c>
      <c r="T23" s="144">
        <f t="shared" ca="1" si="16"/>
        <v>0</v>
      </c>
      <c r="U23" s="144">
        <f t="shared" ca="1" si="16"/>
        <v>0</v>
      </c>
      <c r="V23" s="144">
        <f t="shared" ca="1" si="16"/>
        <v>0</v>
      </c>
      <c r="W23" s="174">
        <f t="shared" ca="1" si="16"/>
        <v>0</v>
      </c>
      <c r="X23" s="163"/>
      <c r="AC23" s="144">
        <f ca="1">IF($B23,ROUND(AC22*$N21,2),ROUND(SUMIF(OFFSET($B23,1,0,$D23),TRUE,OFFSET(AC23,1,0,$D23))/SUMIF(OFFSET($B23,1,0,$D23),TRUE,OFFSET($K23,1,0,$D23))*$N21,2))</f>
        <v>0</v>
      </c>
    </row>
    <row r="24" spans="1:29" customFormat="1" ht="14.25" customHeight="1" x14ac:dyDescent="0.25">
      <c r="A24" s="1"/>
      <c r="B24" s="1"/>
      <c r="C24" s="1"/>
      <c r="D24" s="1"/>
      <c r="E24" s="1"/>
      <c r="F24" s="1"/>
      <c r="G24" s="1"/>
      <c r="H24" s="1"/>
      <c r="I24" s="1"/>
      <c r="J24" s="1"/>
      <c r="K24" s="1"/>
      <c r="L24" s="341" t="str">
        <f ca="1">INDEX(PO!K$12:K$121,MATCH($A26,PO!$V$12:$V$121,0))</f>
        <v>2.1.</v>
      </c>
      <c r="M24" s="335" t="str">
        <f ca="1">INDEX(PO!N$12:N$121,MATCH($A26,PO!$V$12:$V$121,0))</f>
        <v>MOVIMENTAÇÃO DE TERRA E EXECUÇÃO DA BASE</v>
      </c>
      <c r="N24" s="333">
        <f t="shared" ref="N24" ca="1" si="17">IF(ROUND(K26,2)=0,K26,ROUND(K26,2))</f>
        <v>9.9999999999999998E-13</v>
      </c>
      <c r="O24" s="187" t="s">
        <v>143</v>
      </c>
      <c r="P24" s="192">
        <v>0.5</v>
      </c>
      <c r="Q24" s="193">
        <v>0.25</v>
      </c>
      <c r="R24" s="193">
        <v>0.25</v>
      </c>
      <c r="S24" s="193">
        <f t="shared" ref="S24" ca="1" si="18">IF($B26,0,S25-IF(ISNUMBER(R25),R25,0))</f>
        <v>0</v>
      </c>
      <c r="T24" s="193">
        <f t="shared" ref="T24" ca="1" si="19">IF($B26,0,T25-IF(ISNUMBER(S25),S25,0))</f>
        <v>0</v>
      </c>
      <c r="U24" s="193">
        <f t="shared" ref="U24" ca="1" si="20">IF($B26,0,U25-IF(ISNUMBER(T25),T25,0))</f>
        <v>0</v>
      </c>
      <c r="V24" s="193">
        <f t="shared" ref="V24" ca="1" si="21">IF($B26,0,V25-IF(ISNUMBER(U25),U25,0))</f>
        <v>0</v>
      </c>
      <c r="W24" s="194">
        <f t="shared" ref="W24" ca="1" si="22">IF($B26,0,W25-IF(ISNUMBER(V25),V25,0))</f>
        <v>0</v>
      </c>
      <c r="X24" s="163"/>
      <c r="AC24" s="188">
        <f t="shared" ref="AC24" ca="1" si="23">IF($B26,0,AC25-IF(ISNUMBER(AB25),AB25,0))</f>
        <v>0</v>
      </c>
    </row>
    <row r="25" spans="1:29" customFormat="1" ht="13.8" x14ac:dyDescent="0.25">
      <c r="A25" s="11"/>
      <c r="B25" s="11"/>
      <c r="C25" s="11"/>
      <c r="D25" s="11"/>
      <c r="E25" s="11"/>
      <c r="F25" s="11"/>
      <c r="G25" s="11"/>
      <c r="H25" s="11"/>
      <c r="I25" s="11"/>
      <c r="J25" s="11"/>
      <c r="K25" s="11"/>
      <c r="L25" s="342"/>
      <c r="M25" s="336"/>
      <c r="N25" s="334"/>
      <c r="O25" s="145" t="s">
        <v>145</v>
      </c>
      <c r="P25" s="165">
        <f t="shared" ref="P25" ca="1" si="24">MIN(IF($B26,P24+IF(ISNUMBER(O25),O25,0),P26/$N24),1)</f>
        <v>0.5</v>
      </c>
      <c r="Q25" s="143">
        <f t="shared" ref="Q25" ca="1" si="25">MIN(IF($B26,Q24+IF(ISNUMBER(P25),P25,0),Q26/$N24),1)</f>
        <v>0.75</v>
      </c>
      <c r="R25" s="143">
        <f t="shared" ref="R25" ca="1" si="26">MIN(IF($B26,R24+IF(ISNUMBER(Q25),Q25,0),R26/$N24),1)</f>
        <v>1</v>
      </c>
      <c r="S25" s="143">
        <f t="shared" ref="S25" ca="1" si="27">MIN(IF($B26,S24+IF(ISNUMBER(R25),R25,0),S26/$N24),1)</f>
        <v>1</v>
      </c>
      <c r="T25" s="143">
        <f t="shared" ref="T25" ca="1" si="28">MIN(IF($B26,T24+IF(ISNUMBER(S25),S25,0),T26/$N24),1)</f>
        <v>1</v>
      </c>
      <c r="U25" s="143">
        <f t="shared" ref="U25" ca="1" si="29">MIN(IF($B26,U24+IF(ISNUMBER(T25),T25,0),U26/$N24),1)</f>
        <v>1</v>
      </c>
      <c r="V25" s="143">
        <f t="shared" ref="V25" ca="1" si="30">MIN(IF($B26,V24+IF(ISNUMBER(U25),U25,0),V26/$N24),1)</f>
        <v>1</v>
      </c>
      <c r="W25" s="143">
        <f t="shared" ref="W25" ca="1" si="31">MIN(IF($B26,W24+IF(ISNUMBER(V25),V25,0),W26/$N24),1)</f>
        <v>1</v>
      </c>
      <c r="X25" s="163"/>
      <c r="AC25" s="143">
        <f t="shared" ref="AC25" ca="1" si="32">MIN(IF($B26,AC24+IF(ISNUMBER(AB25),AB25,0),AC26/$N24),1)</f>
        <v>0</v>
      </c>
    </row>
    <row r="26" spans="1:29" customFormat="1" ht="13.8" x14ac:dyDescent="0.25">
      <c r="A26" s="11">
        <f ca="1">OFFSET(A26,-CFF.NumLinha,0)+1</f>
        <v>3</v>
      </c>
      <c r="B26" s="11" t="b">
        <f ca="1">$C26&gt;=OFFSET($C26,CFF.NumLinha,0)</f>
        <v>1</v>
      </c>
      <c r="C26" s="11">
        <f ca="1">INDEX(PO!A$12:A$121,MATCH($A26,PO!$V$12:$V$121,0))</f>
        <v>2</v>
      </c>
      <c r="D26" s="11">
        <f t="shared" ref="D26:D57" ca="1" si="33">IF(ISERROR(J26),I26,SMALL(I26:J26,1))-1</f>
        <v>2</v>
      </c>
      <c r="E26" s="11">
        <f ca="1">IF($C26=1,OFFSET(E26,-CFF.NumLinha,0)+1,OFFSET(E26,-CFF.NumLinha,0))</f>
        <v>2</v>
      </c>
      <c r="F26" s="11">
        <f ca="1">IF($C26=1,0,IF($C26=2,OFFSET(F26,-CFF.NumLinha,0)+1,OFFSET(F26,-CFF.NumLinha,0)))</f>
        <v>1</v>
      </c>
      <c r="G26" s="11">
        <f ca="1">IF(AND($C26&lt;=2,$C26&lt;&gt;0),0,IF($C26=3,OFFSET(G26,-CFF.NumLinha,0)+1,OFFSET(G26,-CFF.NumLinha,0)))</f>
        <v>0</v>
      </c>
      <c r="H26" s="11">
        <f ca="1">IF(AND($C26&lt;=3,$C26&lt;&gt;0),0,IF($C26=4,OFFSET(H26,-CFF.NumLinha,0)+1,OFFSET(H26,-CFF.NumLinha,0)))</f>
        <v>0</v>
      </c>
      <c r="I26" s="11">
        <f t="shared" ref="I26:I57" ca="1" si="34">MATCH(0,OFFSET($D26,1,$C26,ROW($A$81)-ROW($A26)),0)</f>
        <v>9</v>
      </c>
      <c r="J26" s="11">
        <f t="shared" ref="J26" ca="1" si="35">MATCH(OFFSET($D26,0,$C26)+1,OFFSET($D26,1,$C26,ROW($A$81)-ROW($A26)),0)</f>
        <v>3</v>
      </c>
      <c r="K26" s="156">
        <f ca="1">ROUND(INDEX(PO!T$12:T$121,MATCH($A26,PO!$V$12:$V$121,0)),2)+10^-12</f>
        <v>9.9999999999999998E-13</v>
      </c>
      <c r="L26" s="342"/>
      <c r="M26" s="336"/>
      <c r="N26" s="334"/>
      <c r="O26" s="171" t="s">
        <v>20</v>
      </c>
      <c r="P26" s="166">
        <f t="shared" ref="P26:W26" ca="1" si="36">IF($B26,ROUND(P25*$N24,2),ROUND(SUMIF(OFFSET($B26,1,0,$D26),TRUE,OFFSET(P26,1,0,$D26))/SUMIF(OFFSET($B26,1,0,$D26),TRUE,OFFSET($K26,1,0,$D26))*$N24,2))</f>
        <v>0</v>
      </c>
      <c r="Q26" s="144">
        <f t="shared" ca="1" si="36"/>
        <v>0</v>
      </c>
      <c r="R26" s="144">
        <f t="shared" ca="1" si="36"/>
        <v>0</v>
      </c>
      <c r="S26" s="144">
        <f t="shared" ca="1" si="36"/>
        <v>0</v>
      </c>
      <c r="T26" s="144">
        <f t="shared" ca="1" si="36"/>
        <v>0</v>
      </c>
      <c r="U26" s="144">
        <f t="shared" ca="1" si="36"/>
        <v>0</v>
      </c>
      <c r="V26" s="144">
        <f t="shared" ca="1" si="36"/>
        <v>0</v>
      </c>
      <c r="W26" s="174">
        <f t="shared" ca="1" si="36"/>
        <v>0</v>
      </c>
      <c r="X26" s="163"/>
      <c r="AC26" s="144">
        <f t="shared" ref="AC26" ca="1" si="37">IF($B26,ROUND(AC25*$N24,2),ROUND(SUMIF(OFFSET($B26,1,0,$D26),TRUE,OFFSET(AC26,1,0,$D26))/SUMIF(OFFSET($B26,1,0,$D26),TRUE,OFFSET($K26,1,0,$D26))*$N24,2))</f>
        <v>0</v>
      </c>
    </row>
    <row r="27" spans="1:29" customFormat="1" ht="14.25" customHeight="1" x14ac:dyDescent="0.25">
      <c r="A27" s="1"/>
      <c r="B27" s="1"/>
      <c r="C27" s="1"/>
      <c r="D27" s="1"/>
      <c r="E27" s="1"/>
      <c r="F27" s="1"/>
      <c r="G27" s="1"/>
      <c r="H27" s="1"/>
      <c r="I27" s="1"/>
      <c r="J27" s="1"/>
      <c r="K27" s="1"/>
      <c r="L27" s="341" t="str">
        <f ca="1">INDEX(PO!K$12:K$121,MATCH($A29,PO!$V$12:$V$121,0))</f>
        <v>2.2.</v>
      </c>
      <c r="M27" s="335" t="str">
        <f ca="1">INDEX(PO!N$12:N$121,MATCH($A29,PO!$V$12:$V$121,0))</f>
        <v>PAVIMENTAÇÃO EM CBUQ</v>
      </c>
      <c r="N27" s="333">
        <f t="shared" ref="N27" ca="1" si="38">IF(ROUND(K29,2)=0,K29,ROUND(K29,2))</f>
        <v>9.9999999999999998E-13</v>
      </c>
      <c r="O27" s="187" t="s">
        <v>143</v>
      </c>
      <c r="P27" s="192">
        <f t="shared" ref="P27" ca="1" si="39">IF($B29,0,P28-IF(ISNUMBER(O28),O28,0))</f>
        <v>0</v>
      </c>
      <c r="Q27" s="193">
        <v>0.5</v>
      </c>
      <c r="R27" s="193">
        <v>0.5</v>
      </c>
      <c r="S27" s="193">
        <f t="shared" ref="S27" ca="1" si="40">IF($B29,0,S28-IF(ISNUMBER(R28),R28,0))</f>
        <v>0</v>
      </c>
      <c r="T27" s="193">
        <f t="shared" ref="T27" ca="1" si="41">IF($B29,0,T28-IF(ISNUMBER(S28),S28,0))</f>
        <v>0</v>
      </c>
      <c r="U27" s="193">
        <f t="shared" ref="U27" ca="1" si="42">IF($B29,0,U28-IF(ISNUMBER(T28),T28,0))</f>
        <v>0</v>
      </c>
      <c r="V27" s="193">
        <f t="shared" ref="V27" ca="1" si="43">IF($B29,0,V28-IF(ISNUMBER(U28),U28,0))</f>
        <v>0</v>
      </c>
      <c r="W27" s="194">
        <f t="shared" ref="W27" ca="1" si="44">IF($B29,0,W28-IF(ISNUMBER(V28),V28,0))</f>
        <v>0</v>
      </c>
      <c r="X27" s="163"/>
      <c r="AC27" s="188">
        <f t="shared" ref="AC27" ca="1" si="45">IF($B29,0,AC28-IF(ISNUMBER(AB28),AB28,0))</f>
        <v>0</v>
      </c>
    </row>
    <row r="28" spans="1:29" customFormat="1" ht="13.8" x14ac:dyDescent="0.25">
      <c r="A28" s="11"/>
      <c r="B28" s="11"/>
      <c r="C28" s="11"/>
      <c r="D28" s="11"/>
      <c r="E28" s="11"/>
      <c r="F28" s="11"/>
      <c r="G28" s="11"/>
      <c r="H28" s="11"/>
      <c r="I28" s="11"/>
      <c r="J28" s="11"/>
      <c r="K28" s="11"/>
      <c r="L28" s="342"/>
      <c r="M28" s="336"/>
      <c r="N28" s="334"/>
      <c r="O28" s="145" t="s">
        <v>145</v>
      </c>
      <c r="P28" s="165">
        <f t="shared" ref="P28" ca="1" si="46">MIN(IF($B29,P27+IF(ISNUMBER(O28),O28,0),P29/$N27),1)</f>
        <v>0</v>
      </c>
      <c r="Q28" s="143">
        <f t="shared" ref="Q28" ca="1" si="47">MIN(IF($B29,Q27+IF(ISNUMBER(P28),P28,0),Q29/$N27),1)</f>
        <v>0.5</v>
      </c>
      <c r="R28" s="143">
        <f t="shared" ref="R28" ca="1" si="48">MIN(IF($B29,R27+IF(ISNUMBER(Q28),Q28,0),R29/$N27),1)</f>
        <v>1</v>
      </c>
      <c r="S28" s="143">
        <f t="shared" ref="S28" ca="1" si="49">MIN(IF($B29,S27+IF(ISNUMBER(R28),R28,0),S29/$N27),1)</f>
        <v>1</v>
      </c>
      <c r="T28" s="143">
        <f t="shared" ref="T28" ca="1" si="50">MIN(IF($B29,T27+IF(ISNUMBER(S28),S28,0),T29/$N27),1)</f>
        <v>1</v>
      </c>
      <c r="U28" s="143">
        <f t="shared" ref="U28" ca="1" si="51">MIN(IF($B29,U27+IF(ISNUMBER(T28),T28,0),U29/$N27),1)</f>
        <v>1</v>
      </c>
      <c r="V28" s="143">
        <f t="shared" ref="V28" ca="1" si="52">MIN(IF($B29,V27+IF(ISNUMBER(U28),U28,0),V29/$N27),1)</f>
        <v>1</v>
      </c>
      <c r="W28" s="143">
        <f t="shared" ref="W28" ca="1" si="53">MIN(IF($B29,W27+IF(ISNUMBER(V28),V28,0),W29/$N27),1)</f>
        <v>1</v>
      </c>
      <c r="X28" s="163"/>
      <c r="AC28" s="143">
        <f t="shared" ref="AC28" ca="1" si="54">MIN(IF($B29,AC27+IF(ISNUMBER(AB28),AB28,0),AC29/$N27),1)</f>
        <v>0</v>
      </c>
    </row>
    <row r="29" spans="1:29" customFormat="1" ht="13.8" x14ac:dyDescent="0.25">
      <c r="A29" s="11">
        <f ca="1">OFFSET(A29,-CFF.NumLinha,0)+1</f>
        <v>4</v>
      </c>
      <c r="B29" s="11" t="b">
        <f ca="1">$C29&gt;=OFFSET($C29,CFF.NumLinha,0)</f>
        <v>1</v>
      </c>
      <c r="C29" s="11">
        <f ca="1">INDEX(PO!A$12:A$121,MATCH($A29,PO!$V$12:$V$121,0))</f>
        <v>2</v>
      </c>
      <c r="D29" s="11">
        <f t="shared" ref="D29:D60" ca="1" si="55">IF(ISERROR(J29),I29,SMALL(I29:J29,1))-1</f>
        <v>2</v>
      </c>
      <c r="E29" s="11">
        <f ca="1">IF($C29=1,OFFSET(E29,-CFF.NumLinha,0)+1,OFFSET(E29,-CFF.NumLinha,0))</f>
        <v>2</v>
      </c>
      <c r="F29" s="11">
        <f ca="1">IF($C29=1,0,IF($C29=2,OFFSET(F29,-CFF.NumLinha,0)+1,OFFSET(F29,-CFF.NumLinha,0)))</f>
        <v>2</v>
      </c>
      <c r="G29" s="11">
        <f ca="1">IF(AND($C29&lt;=2,$C29&lt;&gt;0),0,IF($C29=3,OFFSET(G29,-CFF.NumLinha,0)+1,OFFSET(G29,-CFF.NumLinha,0)))</f>
        <v>0</v>
      </c>
      <c r="H29" s="11">
        <f ca="1">IF(AND($C29&lt;=3,$C29&lt;&gt;0),0,IF($C29=4,OFFSET(H29,-CFF.NumLinha,0)+1,OFFSET(H29,-CFF.NumLinha,0)))</f>
        <v>0</v>
      </c>
      <c r="I29" s="11">
        <f t="shared" ref="I29:I60" ca="1" si="56">MATCH(0,OFFSET($D29,1,$C29,ROW($A$81)-ROW($A29)),0)</f>
        <v>6</v>
      </c>
      <c r="J29" s="11">
        <f t="shared" ref="J29" ca="1" si="57">MATCH(OFFSET($D29,0,$C29)+1,OFFSET($D29,1,$C29,ROW($A$81)-ROW($A29)),0)</f>
        <v>3</v>
      </c>
      <c r="K29" s="156">
        <f ca="1">ROUND(INDEX(PO!T$12:T$121,MATCH($A29,PO!$V$12:$V$121,0)),2)+10^-12</f>
        <v>9.9999999999999998E-13</v>
      </c>
      <c r="L29" s="342"/>
      <c r="M29" s="336"/>
      <c r="N29" s="334"/>
      <c r="O29" s="171" t="s">
        <v>20</v>
      </c>
      <c r="P29" s="166">
        <f t="shared" ref="P29:W29" ca="1" si="58">IF($B29,ROUND(P28*$N27,2),ROUND(SUMIF(OFFSET($B29,1,0,$D29),TRUE,OFFSET(P29,1,0,$D29))/SUMIF(OFFSET($B29,1,0,$D29),TRUE,OFFSET($K29,1,0,$D29))*$N27,2))</f>
        <v>0</v>
      </c>
      <c r="Q29" s="144">
        <f t="shared" ca="1" si="58"/>
        <v>0</v>
      </c>
      <c r="R29" s="144">
        <f t="shared" ca="1" si="58"/>
        <v>0</v>
      </c>
      <c r="S29" s="144">
        <f t="shared" ca="1" si="58"/>
        <v>0</v>
      </c>
      <c r="T29" s="144">
        <f t="shared" ca="1" si="58"/>
        <v>0</v>
      </c>
      <c r="U29" s="144">
        <f t="shared" ca="1" si="58"/>
        <v>0</v>
      </c>
      <c r="V29" s="144">
        <f t="shared" ca="1" si="58"/>
        <v>0</v>
      </c>
      <c r="W29" s="174">
        <f t="shared" ca="1" si="58"/>
        <v>0</v>
      </c>
      <c r="X29" s="163"/>
      <c r="AC29" s="144">
        <f t="shared" ref="AC29" ca="1" si="59">IF($B29,ROUND(AC28*$N27,2),ROUND(SUMIF(OFFSET($B29,1,0,$D29),TRUE,OFFSET(AC29,1,0,$D29))/SUMIF(OFFSET($B29,1,0,$D29),TRUE,OFFSET($K29,1,0,$D29))*$N27,2))</f>
        <v>0</v>
      </c>
    </row>
    <row r="30" spans="1:29" customFormat="1" ht="14.25" customHeight="1" x14ac:dyDescent="0.25">
      <c r="A30" s="1"/>
      <c r="B30" s="1"/>
      <c r="C30" s="1"/>
      <c r="D30" s="1"/>
      <c r="E30" s="1"/>
      <c r="F30" s="1"/>
      <c r="G30" s="1"/>
      <c r="H30" s="1"/>
      <c r="I30" s="1"/>
      <c r="J30" s="1"/>
      <c r="K30" s="1"/>
      <c r="L30" s="341" t="str">
        <f ca="1">INDEX(PO!K$12:K$121,MATCH($A32,PO!$V$12:$V$121,0))</f>
        <v>2.3.</v>
      </c>
      <c r="M30" s="335" t="str">
        <f ca="1">INDEX(PO!N$12:N$121,MATCH($A32,PO!$V$12:$V$121,0))</f>
        <v>SINALIZAÇÃO</v>
      </c>
      <c r="N30" s="333">
        <f t="shared" ref="N30" ca="1" si="60">IF(ROUND(K32,2)=0,K32,ROUND(K32,2))</f>
        <v>9.9999999999999998E-13</v>
      </c>
      <c r="O30" s="187" t="s">
        <v>143</v>
      </c>
      <c r="P30" s="192">
        <f t="shared" ref="P30" ca="1" si="61">IF($B32,0,P31-IF(ISNUMBER(O31),O31,0))</f>
        <v>0</v>
      </c>
      <c r="Q30" s="193">
        <f t="shared" ref="Q30" ca="1" si="62">IF($B32,0,Q31-IF(ISNUMBER(P31),P31,0))</f>
        <v>0</v>
      </c>
      <c r="R30" s="193">
        <v>1</v>
      </c>
      <c r="S30" s="193">
        <f t="shared" ref="S30" ca="1" si="63">IF($B32,0,S31-IF(ISNUMBER(R31),R31,0))</f>
        <v>0</v>
      </c>
      <c r="T30" s="193">
        <f t="shared" ref="T30" ca="1" si="64">IF($B32,0,T31-IF(ISNUMBER(S31),S31,0))</f>
        <v>0</v>
      </c>
      <c r="U30" s="193">
        <f t="shared" ref="U30" ca="1" si="65">IF($B32,0,U31-IF(ISNUMBER(T31),T31,0))</f>
        <v>0</v>
      </c>
      <c r="V30" s="193">
        <f t="shared" ref="V30" ca="1" si="66">IF($B32,0,V31-IF(ISNUMBER(U31),U31,0))</f>
        <v>0</v>
      </c>
      <c r="W30" s="194">
        <f t="shared" ref="W30" ca="1" si="67">IF($B32,0,W31-IF(ISNUMBER(V31),V31,0))</f>
        <v>0</v>
      </c>
      <c r="X30" s="163"/>
      <c r="AC30" s="188">
        <f t="shared" ref="AC30" ca="1" si="68">IF($B32,0,AC31-IF(ISNUMBER(AB31),AB31,0))</f>
        <v>0</v>
      </c>
    </row>
    <row r="31" spans="1:29" customFormat="1" ht="13.8" x14ac:dyDescent="0.25">
      <c r="A31" s="11"/>
      <c r="B31" s="11"/>
      <c r="C31" s="11"/>
      <c r="D31" s="11"/>
      <c r="E31" s="11"/>
      <c r="F31" s="11"/>
      <c r="G31" s="11"/>
      <c r="H31" s="11"/>
      <c r="I31" s="11"/>
      <c r="J31" s="11"/>
      <c r="K31" s="11"/>
      <c r="L31" s="342"/>
      <c r="M31" s="336"/>
      <c r="N31" s="334"/>
      <c r="O31" s="145" t="s">
        <v>145</v>
      </c>
      <c r="P31" s="165">
        <f t="shared" ref="P31" ca="1" si="69">MIN(IF($B32,P30+IF(ISNUMBER(O31),O31,0),P32/$N30),1)</f>
        <v>0</v>
      </c>
      <c r="Q31" s="143">
        <f t="shared" ref="Q31" ca="1" si="70">MIN(IF($B32,Q30+IF(ISNUMBER(P31),P31,0),Q32/$N30),1)</f>
        <v>0</v>
      </c>
      <c r="R31" s="143">
        <f t="shared" ref="R31" ca="1" si="71">MIN(IF($B32,R30+IF(ISNUMBER(Q31),Q31,0),R32/$N30),1)</f>
        <v>1</v>
      </c>
      <c r="S31" s="143">
        <f t="shared" ref="S31" ca="1" si="72">MIN(IF($B32,S30+IF(ISNUMBER(R31),R31,0),S32/$N30),1)</f>
        <v>1</v>
      </c>
      <c r="T31" s="143">
        <f t="shared" ref="T31" ca="1" si="73">MIN(IF($B32,T30+IF(ISNUMBER(S31),S31,0),T32/$N30),1)</f>
        <v>1</v>
      </c>
      <c r="U31" s="143">
        <f t="shared" ref="U31" ca="1" si="74">MIN(IF($B32,U30+IF(ISNUMBER(T31),T31,0),U32/$N30),1)</f>
        <v>1</v>
      </c>
      <c r="V31" s="143">
        <f t="shared" ref="V31" ca="1" si="75">MIN(IF($B32,V30+IF(ISNUMBER(U31),U31,0),V32/$N30),1)</f>
        <v>1</v>
      </c>
      <c r="W31" s="143">
        <f t="shared" ref="W31" ca="1" si="76">MIN(IF($B32,W30+IF(ISNUMBER(V31),V31,0),W32/$N30),1)</f>
        <v>1</v>
      </c>
      <c r="X31" s="163"/>
      <c r="AC31" s="143">
        <f t="shared" ref="AC31" ca="1" si="77">MIN(IF($B32,AC30+IF(ISNUMBER(AB31),AB31,0),AC32/$N30),1)</f>
        <v>0</v>
      </c>
    </row>
    <row r="32" spans="1:29" customFormat="1" ht="13.8" x14ac:dyDescent="0.25">
      <c r="A32" s="11">
        <f ca="1">OFFSET(A32,-CFF.NumLinha,0)+1</f>
        <v>5</v>
      </c>
      <c r="B32" s="11" t="b">
        <f ca="1">$C32&gt;=OFFSET($C32,CFF.NumLinha,0)</f>
        <v>1</v>
      </c>
      <c r="C32" s="11">
        <f ca="1">INDEX(PO!A$12:A$121,MATCH($A32,PO!$V$12:$V$121,0))</f>
        <v>2</v>
      </c>
      <c r="D32" s="11">
        <f t="shared" ref="D32:D63" ca="1" si="78">IF(ISERROR(J32),I32,SMALL(I32:J32,1))-1</f>
        <v>2</v>
      </c>
      <c r="E32" s="11">
        <f ca="1">IF($C32=1,OFFSET(E32,-CFF.NumLinha,0)+1,OFFSET(E32,-CFF.NumLinha,0))</f>
        <v>2</v>
      </c>
      <c r="F32" s="11">
        <f ca="1">IF($C32=1,0,IF($C32=2,OFFSET(F32,-CFF.NumLinha,0)+1,OFFSET(F32,-CFF.NumLinha,0)))</f>
        <v>3</v>
      </c>
      <c r="G32" s="11">
        <f ca="1">IF(AND($C32&lt;=2,$C32&lt;&gt;0),0,IF($C32=3,OFFSET(G32,-CFF.NumLinha,0)+1,OFFSET(G32,-CFF.NumLinha,0)))</f>
        <v>0</v>
      </c>
      <c r="H32" s="11">
        <f ca="1">IF(AND($C32&lt;=3,$C32&lt;&gt;0),0,IF($C32=4,OFFSET(H32,-CFF.NumLinha,0)+1,OFFSET(H32,-CFF.NumLinha,0)))</f>
        <v>0</v>
      </c>
      <c r="I32" s="11">
        <f t="shared" ref="I32:I63" ca="1" si="79">MATCH(0,OFFSET($D32,1,$C32,ROW($A$81)-ROW($A32)),0)</f>
        <v>3</v>
      </c>
      <c r="J32" s="11" t="e">
        <f t="shared" ref="J32" ca="1" si="80">MATCH(OFFSET($D32,0,$C32)+1,OFFSET($D32,1,$C32,ROW($A$81)-ROW($A32)),0)</f>
        <v>#N/A</v>
      </c>
      <c r="K32" s="156">
        <f ca="1">ROUND(INDEX(PO!T$12:T$121,MATCH($A32,PO!$V$12:$V$121,0)),2)+10^-12</f>
        <v>9.9999999999999998E-13</v>
      </c>
      <c r="L32" s="342"/>
      <c r="M32" s="336"/>
      <c r="N32" s="334"/>
      <c r="O32" s="171" t="s">
        <v>20</v>
      </c>
      <c r="P32" s="166">
        <f t="shared" ref="P32:W32" ca="1" si="81">IF($B32,ROUND(P31*$N30,2),ROUND(SUMIF(OFFSET($B32,1,0,$D32),TRUE,OFFSET(P32,1,0,$D32))/SUMIF(OFFSET($B32,1,0,$D32),TRUE,OFFSET($K32,1,0,$D32))*$N30,2))</f>
        <v>0</v>
      </c>
      <c r="Q32" s="144">
        <f t="shared" ca="1" si="81"/>
        <v>0</v>
      </c>
      <c r="R32" s="144">
        <f t="shared" ca="1" si="81"/>
        <v>0</v>
      </c>
      <c r="S32" s="144">
        <f t="shared" ca="1" si="81"/>
        <v>0</v>
      </c>
      <c r="T32" s="144">
        <f t="shared" ca="1" si="81"/>
        <v>0</v>
      </c>
      <c r="U32" s="144">
        <f t="shared" ca="1" si="81"/>
        <v>0</v>
      </c>
      <c r="V32" s="144">
        <f t="shared" ca="1" si="81"/>
        <v>0</v>
      </c>
      <c r="W32" s="174">
        <f t="shared" ca="1" si="81"/>
        <v>0</v>
      </c>
      <c r="X32" s="163"/>
      <c r="AC32" s="144">
        <f t="shared" ref="AC32" ca="1" si="82">IF($B32,ROUND(AC31*$N30,2),ROUND(SUMIF(OFFSET($B32,1,0,$D32),TRUE,OFFSET(AC32,1,0,$D32))/SUMIF(OFFSET($B32,1,0,$D32),TRUE,OFFSET($K32,1,0,$D32))*$N30,2))</f>
        <v>0</v>
      </c>
    </row>
    <row r="33" spans="1:29" customFormat="1" ht="14.25" customHeight="1" x14ac:dyDescent="0.25">
      <c r="A33" s="1"/>
      <c r="B33" s="1"/>
      <c r="C33" s="1"/>
      <c r="D33" s="1"/>
      <c r="E33" s="1"/>
      <c r="F33" s="1"/>
      <c r="G33" s="1"/>
      <c r="H33" s="1"/>
      <c r="I33" s="1"/>
      <c r="J33" s="1"/>
      <c r="K33" s="1"/>
      <c r="L33" s="341" t="str">
        <f ca="1">INDEX(PO!K$12:K$121,MATCH($A35,PO!$V$12:$V$121,0))</f>
        <v>3.</v>
      </c>
      <c r="M33" s="335" t="str">
        <f ca="1">INDEX(PO!N$12:N$121,MATCH($A35,PO!$V$12:$V$121,0))</f>
        <v>TRECHO 2</v>
      </c>
      <c r="N33" s="333">
        <f t="shared" ref="N33" ca="1" si="83">IF(ROUND(K35,2)=0,K35,ROUND(K35,2))</f>
        <v>9.9999999999999998E-13</v>
      </c>
      <c r="O33" s="187" t="s">
        <v>143</v>
      </c>
      <c r="P33" s="192">
        <f t="shared" ref="P33" ca="1" si="84">IF($B35,0,P34-IF(ISNUMBER(O34),O34,0))</f>
        <v>0</v>
      </c>
      <c r="Q33" s="193">
        <f t="shared" ref="Q33" ca="1" si="85">IF($B35,0,Q34-IF(ISNUMBER(P34),P34,0))</f>
        <v>0</v>
      </c>
      <c r="R33" s="193">
        <f t="shared" ref="R33" ca="1" si="86">IF($B35,0,R34-IF(ISNUMBER(Q34),Q34,0))</f>
        <v>0</v>
      </c>
      <c r="S33" s="193">
        <f t="shared" ref="S33" ca="1" si="87">IF($B35,0,S34-IF(ISNUMBER(R34),R34,0))</f>
        <v>0</v>
      </c>
      <c r="T33" s="193">
        <f t="shared" ref="T33" ca="1" si="88">IF($B35,0,T34-IF(ISNUMBER(S34),S34,0))</f>
        <v>0</v>
      </c>
      <c r="U33" s="193">
        <f t="shared" ref="U33" ca="1" si="89">IF($B35,0,U34-IF(ISNUMBER(T34),T34,0))</f>
        <v>0</v>
      </c>
      <c r="V33" s="193">
        <f t="shared" ref="V33" ca="1" si="90">IF($B35,0,V34-IF(ISNUMBER(U34),U34,0))</f>
        <v>0</v>
      </c>
      <c r="W33" s="194">
        <f t="shared" ref="W33" ca="1" si="91">IF($B35,0,W34-IF(ISNUMBER(V34),V34,0))</f>
        <v>0</v>
      </c>
      <c r="X33" s="163"/>
      <c r="AC33" s="188">
        <f t="shared" ref="AC33" ca="1" si="92">IF($B35,0,AC34-IF(ISNUMBER(AB34),AB34,0))</f>
        <v>0</v>
      </c>
    </row>
    <row r="34" spans="1:29" customFormat="1" ht="13.8" x14ac:dyDescent="0.25">
      <c r="A34" s="11"/>
      <c r="B34" s="11"/>
      <c r="C34" s="11"/>
      <c r="D34" s="11"/>
      <c r="E34" s="11"/>
      <c r="F34" s="11"/>
      <c r="G34" s="11"/>
      <c r="H34" s="11"/>
      <c r="I34" s="11"/>
      <c r="J34" s="11"/>
      <c r="K34" s="11"/>
      <c r="L34" s="342"/>
      <c r="M34" s="336"/>
      <c r="N34" s="334"/>
      <c r="O34" s="145" t="s">
        <v>145</v>
      </c>
      <c r="P34" s="165">
        <f t="shared" ref="P34" ca="1" si="93">MIN(IF($B35,P33+IF(ISNUMBER(O34),O34,0),P35/$N33),1)</f>
        <v>0</v>
      </c>
      <c r="Q34" s="143">
        <f t="shared" ref="Q34" ca="1" si="94">MIN(IF($B35,Q33+IF(ISNUMBER(P34),P34,0),Q35/$N33),1)</f>
        <v>0</v>
      </c>
      <c r="R34" s="143">
        <f t="shared" ref="R34" ca="1" si="95">MIN(IF($B35,R33+IF(ISNUMBER(Q34),Q34,0),R35/$N33),1)</f>
        <v>0</v>
      </c>
      <c r="S34" s="143">
        <f t="shared" ref="S34" ca="1" si="96">MIN(IF($B35,S33+IF(ISNUMBER(R34),R34,0),S35/$N33),1)</f>
        <v>0</v>
      </c>
      <c r="T34" s="143">
        <f t="shared" ref="T34" ca="1" si="97">MIN(IF($B35,T33+IF(ISNUMBER(S34),S34,0),T35/$N33),1)</f>
        <v>0</v>
      </c>
      <c r="U34" s="143">
        <f t="shared" ref="U34" ca="1" si="98">MIN(IF($B35,U33+IF(ISNUMBER(T34),T34,0),U35/$N33),1)</f>
        <v>0</v>
      </c>
      <c r="V34" s="143">
        <f t="shared" ref="V34" ca="1" si="99">MIN(IF($B35,V33+IF(ISNUMBER(U34),U34,0),V35/$N33),1)</f>
        <v>0</v>
      </c>
      <c r="W34" s="143">
        <f t="shared" ref="W34" ca="1" si="100">MIN(IF($B35,W33+IF(ISNUMBER(V34),V34,0),W35/$N33),1)</f>
        <v>0</v>
      </c>
      <c r="X34" s="163"/>
      <c r="AC34" s="143">
        <f t="shared" ref="AC34" ca="1" si="101">MIN(IF($B35,AC33+IF(ISNUMBER(AB34),AB34,0),AC35/$N33),1)</f>
        <v>0</v>
      </c>
    </row>
    <row r="35" spans="1:29" customFormat="1" ht="13.8" x14ac:dyDescent="0.25">
      <c r="A35" s="11">
        <f ca="1">OFFSET(A35,-CFF.NumLinha,0)+1</f>
        <v>6</v>
      </c>
      <c r="B35" s="11" t="b">
        <f ca="1">$C35&gt;=OFFSET($C35,CFF.NumLinha,0)</f>
        <v>0</v>
      </c>
      <c r="C35" s="11">
        <f ca="1">INDEX(PO!A$12:A$121,MATCH($A35,PO!$V$12:$V$121,0))</f>
        <v>1</v>
      </c>
      <c r="D35" s="11">
        <f t="shared" ref="D35:D80" ca="1" si="102">IF(ISERROR(J35),I35,SMALL(I35:J35,1))-1</f>
        <v>11</v>
      </c>
      <c r="E35" s="11">
        <f ca="1">IF($C35=1,OFFSET(E35,-CFF.NumLinha,0)+1,OFFSET(E35,-CFF.NumLinha,0))</f>
        <v>3</v>
      </c>
      <c r="F35" s="11">
        <f ca="1">IF($C35=1,0,IF($C35=2,OFFSET(F35,-CFF.NumLinha,0)+1,OFFSET(F35,-CFF.NumLinha,0)))</f>
        <v>0</v>
      </c>
      <c r="G35" s="11">
        <f ca="1">IF(AND($C35&lt;=2,$C35&lt;&gt;0),0,IF($C35=3,OFFSET(G35,-CFF.NumLinha,0)+1,OFFSET(G35,-CFF.NumLinha,0)))</f>
        <v>0</v>
      </c>
      <c r="H35" s="11">
        <f ca="1">IF(AND($C35&lt;=3,$C35&lt;&gt;0),0,IF($C35=4,OFFSET(H35,-CFF.NumLinha,0)+1,OFFSET(H35,-CFF.NumLinha,0)))</f>
        <v>0</v>
      </c>
      <c r="I35" s="11">
        <f t="shared" ref="I35:I80" ca="1" si="103">MATCH(0,OFFSET($D35,1,$C35,ROW($A$81)-ROW($A35)),0)</f>
        <v>46</v>
      </c>
      <c r="J35" s="11">
        <f t="shared" ref="J35" ca="1" si="104">MATCH(OFFSET($D35,0,$C35)+1,OFFSET($D35,1,$C35,ROW($A$81)-ROW($A35)),0)</f>
        <v>12</v>
      </c>
      <c r="K35" s="156">
        <f ca="1">ROUND(INDEX(PO!T$12:T$121,MATCH($A35,PO!$V$12:$V$121,0)),2)+10^-12</f>
        <v>9.9999999999999998E-13</v>
      </c>
      <c r="L35" s="342"/>
      <c r="M35" s="336"/>
      <c r="N35" s="334"/>
      <c r="O35" s="171" t="s">
        <v>20</v>
      </c>
      <c r="P35" s="166">
        <f t="shared" ref="P35:W35" ca="1" si="105">IF($B35,ROUND(P34*$N33,2),ROUND(SUMIF(OFFSET($B35,1,0,$D35),TRUE,OFFSET(P35,1,0,$D35))/SUMIF(OFFSET($B35,1,0,$D35),TRUE,OFFSET($K35,1,0,$D35))*$N33,2))</f>
        <v>0</v>
      </c>
      <c r="Q35" s="144">
        <f t="shared" ca="1" si="105"/>
        <v>0</v>
      </c>
      <c r="R35" s="144">
        <f t="shared" ca="1" si="105"/>
        <v>0</v>
      </c>
      <c r="S35" s="144">
        <f t="shared" ca="1" si="105"/>
        <v>0</v>
      </c>
      <c r="T35" s="144">
        <f t="shared" ca="1" si="105"/>
        <v>0</v>
      </c>
      <c r="U35" s="144">
        <f t="shared" ca="1" si="105"/>
        <v>0</v>
      </c>
      <c r="V35" s="144">
        <f t="shared" ca="1" si="105"/>
        <v>0</v>
      </c>
      <c r="W35" s="174">
        <f t="shared" ca="1" si="105"/>
        <v>0</v>
      </c>
      <c r="X35" s="163"/>
      <c r="AC35" s="144">
        <f t="shared" ref="AC35" ca="1" si="106">IF($B35,ROUND(AC34*$N33,2),ROUND(SUMIF(OFFSET($B35,1,0,$D35),TRUE,OFFSET(AC35,1,0,$D35))/SUMIF(OFFSET($B35,1,0,$D35),TRUE,OFFSET($K35,1,0,$D35))*$N33,2))</f>
        <v>0</v>
      </c>
    </row>
    <row r="36" spans="1:29" customFormat="1" ht="14.25" customHeight="1" x14ac:dyDescent="0.25">
      <c r="A36" s="1"/>
      <c r="B36" s="1"/>
      <c r="C36" s="1"/>
      <c r="D36" s="1"/>
      <c r="E36" s="1"/>
      <c r="F36" s="1"/>
      <c r="G36" s="1"/>
      <c r="H36" s="1"/>
      <c r="I36" s="1"/>
      <c r="J36" s="1"/>
      <c r="K36" s="1"/>
      <c r="L36" s="341" t="str">
        <f ca="1">INDEX(PO!K$12:K$121,MATCH($A38,PO!$V$12:$V$121,0))</f>
        <v>3.1.</v>
      </c>
      <c r="M36" s="335" t="str">
        <f ca="1">INDEX(PO!N$12:N$121,MATCH($A38,PO!$V$12:$V$121,0))</f>
        <v>MOVIMENTAÇÃO DE TERRA E EXECUÇÃO DA BASE</v>
      </c>
      <c r="N36" s="333">
        <f t="shared" ref="N36" ca="1" si="107">IF(ROUND(K38,2)=0,K38,ROUND(K38,2))</f>
        <v>9.9999999999999998E-13</v>
      </c>
      <c r="O36" s="187" t="s">
        <v>143</v>
      </c>
      <c r="P36" s="192">
        <v>0.5</v>
      </c>
      <c r="Q36" s="193">
        <v>0.25</v>
      </c>
      <c r="R36" s="193">
        <v>0.25</v>
      </c>
      <c r="S36" s="193">
        <f t="shared" ref="S36" ca="1" si="108">IF($B38,0,S37-IF(ISNUMBER(R37),R37,0))</f>
        <v>0</v>
      </c>
      <c r="T36" s="193">
        <f t="shared" ref="T36" ca="1" si="109">IF($B38,0,T37-IF(ISNUMBER(S37),S37,0))</f>
        <v>0</v>
      </c>
      <c r="U36" s="193">
        <f t="shared" ref="U36" ca="1" si="110">IF($B38,0,U37-IF(ISNUMBER(T37),T37,0))</f>
        <v>0</v>
      </c>
      <c r="V36" s="193">
        <f t="shared" ref="V36" ca="1" si="111">IF($B38,0,V37-IF(ISNUMBER(U37),U37,0))</f>
        <v>0</v>
      </c>
      <c r="W36" s="194">
        <f t="shared" ref="W36" ca="1" si="112">IF($B38,0,W37-IF(ISNUMBER(V37),V37,0))</f>
        <v>0</v>
      </c>
      <c r="X36" s="163"/>
      <c r="AC36" s="188">
        <f t="shared" ref="AC36" ca="1" si="113">IF($B38,0,AC37-IF(ISNUMBER(AB37),AB37,0))</f>
        <v>0</v>
      </c>
    </row>
    <row r="37" spans="1:29" customFormat="1" ht="13.8" x14ac:dyDescent="0.25">
      <c r="A37" s="11"/>
      <c r="B37" s="11"/>
      <c r="C37" s="11"/>
      <c r="D37" s="11"/>
      <c r="E37" s="11"/>
      <c r="F37" s="11"/>
      <c r="G37" s="11"/>
      <c r="H37" s="11"/>
      <c r="I37" s="11"/>
      <c r="J37" s="11"/>
      <c r="K37" s="11"/>
      <c r="L37" s="342"/>
      <c r="M37" s="336"/>
      <c r="N37" s="334"/>
      <c r="O37" s="145" t="s">
        <v>145</v>
      </c>
      <c r="P37" s="165">
        <f t="shared" ref="P37" ca="1" si="114">MIN(IF($B38,P36+IF(ISNUMBER(O37),O37,0),P38/$N36),1)</f>
        <v>0.5</v>
      </c>
      <c r="Q37" s="143">
        <f t="shared" ref="Q37" ca="1" si="115">MIN(IF($B38,Q36+IF(ISNUMBER(P37),P37,0),Q38/$N36),1)</f>
        <v>0.75</v>
      </c>
      <c r="R37" s="143">
        <f t="shared" ref="R37" ca="1" si="116">MIN(IF($B38,R36+IF(ISNUMBER(Q37),Q37,0),R38/$N36),1)</f>
        <v>1</v>
      </c>
      <c r="S37" s="143">
        <f t="shared" ref="S37" ca="1" si="117">MIN(IF($B38,S36+IF(ISNUMBER(R37),R37,0),S38/$N36),1)</f>
        <v>1</v>
      </c>
      <c r="T37" s="143">
        <f t="shared" ref="T37" ca="1" si="118">MIN(IF($B38,T36+IF(ISNUMBER(S37),S37,0),T38/$N36),1)</f>
        <v>1</v>
      </c>
      <c r="U37" s="143">
        <f t="shared" ref="U37" ca="1" si="119">MIN(IF($B38,U36+IF(ISNUMBER(T37),T37,0),U38/$N36),1)</f>
        <v>1</v>
      </c>
      <c r="V37" s="143">
        <f t="shared" ref="V37" ca="1" si="120">MIN(IF($B38,V36+IF(ISNUMBER(U37),U37,0),V38/$N36),1)</f>
        <v>1</v>
      </c>
      <c r="W37" s="143">
        <f t="shared" ref="W37" ca="1" si="121">MIN(IF($B38,W36+IF(ISNUMBER(V37),V37,0),W38/$N36),1)</f>
        <v>1</v>
      </c>
      <c r="X37" s="163"/>
      <c r="AC37" s="143">
        <f t="shared" ref="AC37" ca="1" si="122">MIN(IF($B38,AC36+IF(ISNUMBER(AB37),AB37,0),AC38/$N36),1)</f>
        <v>0</v>
      </c>
    </row>
    <row r="38" spans="1:29" customFormat="1" ht="13.8" x14ac:dyDescent="0.25">
      <c r="A38" s="11">
        <f ca="1">OFFSET(A38,-CFF.NumLinha,0)+1</f>
        <v>7</v>
      </c>
      <c r="B38" s="11" t="b">
        <f ca="1">$C38&gt;=OFFSET($C38,CFF.NumLinha,0)</f>
        <v>1</v>
      </c>
      <c r="C38" s="11">
        <f ca="1">INDEX(PO!A$12:A$121,MATCH($A38,PO!$V$12:$V$121,0))</f>
        <v>2</v>
      </c>
      <c r="D38" s="11">
        <f t="shared" ref="D38:D80" ca="1" si="123">IF(ISERROR(J38),I38,SMALL(I38:J38,1))-1</f>
        <v>2</v>
      </c>
      <c r="E38" s="11">
        <f ca="1">IF($C38=1,OFFSET(E38,-CFF.NumLinha,0)+1,OFFSET(E38,-CFF.NumLinha,0))</f>
        <v>3</v>
      </c>
      <c r="F38" s="11">
        <f ca="1">IF($C38=1,0,IF($C38=2,OFFSET(F38,-CFF.NumLinha,0)+1,OFFSET(F38,-CFF.NumLinha,0)))</f>
        <v>1</v>
      </c>
      <c r="G38" s="11">
        <f ca="1">IF(AND($C38&lt;=2,$C38&lt;&gt;0),0,IF($C38=3,OFFSET(G38,-CFF.NumLinha,0)+1,OFFSET(G38,-CFF.NumLinha,0)))</f>
        <v>0</v>
      </c>
      <c r="H38" s="11">
        <f ca="1">IF(AND($C38&lt;=3,$C38&lt;&gt;0),0,IF($C38=4,OFFSET(H38,-CFF.NumLinha,0)+1,OFFSET(H38,-CFF.NumLinha,0)))</f>
        <v>0</v>
      </c>
      <c r="I38" s="11">
        <f t="shared" ref="I38:I80" ca="1" si="124">MATCH(0,OFFSET($D38,1,$C38,ROW($A$81)-ROW($A38)),0)</f>
        <v>9</v>
      </c>
      <c r="J38" s="11">
        <f t="shared" ref="J38" ca="1" si="125">MATCH(OFFSET($D38,0,$C38)+1,OFFSET($D38,1,$C38,ROW($A$81)-ROW($A38)),0)</f>
        <v>3</v>
      </c>
      <c r="K38" s="156">
        <f ca="1">ROUND(INDEX(PO!T$12:T$121,MATCH($A38,PO!$V$12:$V$121,0)),2)+10^-12</f>
        <v>9.9999999999999998E-13</v>
      </c>
      <c r="L38" s="342"/>
      <c r="M38" s="336"/>
      <c r="N38" s="334"/>
      <c r="O38" s="171" t="s">
        <v>20</v>
      </c>
      <c r="P38" s="166">
        <f t="shared" ref="P38:W38" ca="1" si="126">IF($B38,ROUND(P37*$N36,2),ROUND(SUMIF(OFFSET($B38,1,0,$D38),TRUE,OFFSET(P38,1,0,$D38))/SUMIF(OFFSET($B38,1,0,$D38),TRUE,OFFSET($K38,1,0,$D38))*$N36,2))</f>
        <v>0</v>
      </c>
      <c r="Q38" s="144">
        <f t="shared" ca="1" si="126"/>
        <v>0</v>
      </c>
      <c r="R38" s="144">
        <f t="shared" ca="1" si="126"/>
        <v>0</v>
      </c>
      <c r="S38" s="144">
        <f t="shared" ca="1" si="126"/>
        <v>0</v>
      </c>
      <c r="T38" s="144">
        <f t="shared" ca="1" si="126"/>
        <v>0</v>
      </c>
      <c r="U38" s="144">
        <f t="shared" ca="1" si="126"/>
        <v>0</v>
      </c>
      <c r="V38" s="144">
        <f t="shared" ca="1" si="126"/>
        <v>0</v>
      </c>
      <c r="W38" s="174">
        <f t="shared" ca="1" si="126"/>
        <v>0</v>
      </c>
      <c r="X38" s="163"/>
      <c r="AC38" s="144">
        <f t="shared" ref="AC38" ca="1" si="127">IF($B38,ROUND(AC37*$N36,2),ROUND(SUMIF(OFFSET($B38,1,0,$D38),TRUE,OFFSET(AC38,1,0,$D38))/SUMIF(OFFSET($B38,1,0,$D38),TRUE,OFFSET($K38,1,0,$D38))*$N36,2))</f>
        <v>0</v>
      </c>
    </row>
    <row r="39" spans="1:29" customFormat="1" ht="14.25" customHeight="1" x14ac:dyDescent="0.25">
      <c r="A39" s="1"/>
      <c r="B39" s="1"/>
      <c r="C39" s="1"/>
      <c r="D39" s="1"/>
      <c r="E39" s="1"/>
      <c r="F39" s="1"/>
      <c r="G39" s="1"/>
      <c r="H39" s="1"/>
      <c r="I39" s="1"/>
      <c r="J39" s="1"/>
      <c r="K39" s="1"/>
      <c r="L39" s="341" t="str">
        <f ca="1">INDEX(PO!K$12:K$121,MATCH($A41,PO!$V$12:$V$121,0))</f>
        <v>3.2.</v>
      </c>
      <c r="M39" s="335" t="str">
        <f ca="1">INDEX(PO!N$12:N$121,MATCH($A41,PO!$V$12:$V$121,0))</f>
        <v>PAVIMENTAÇÃO EM CBUQ</v>
      </c>
      <c r="N39" s="333">
        <f t="shared" ref="N39" ca="1" si="128">IF(ROUND(K41,2)=0,K41,ROUND(K41,2))</f>
        <v>9.9999999999999998E-13</v>
      </c>
      <c r="O39" s="187" t="s">
        <v>143</v>
      </c>
      <c r="P39" s="192">
        <f t="shared" ref="P39" ca="1" si="129">IF($B41,0,P40-IF(ISNUMBER(O40),O40,0))</f>
        <v>0</v>
      </c>
      <c r="Q39" s="193">
        <v>0.5</v>
      </c>
      <c r="R39" s="193">
        <v>0.25</v>
      </c>
      <c r="S39" s="193">
        <v>0.25</v>
      </c>
      <c r="T39" s="193">
        <f t="shared" ref="T39" ca="1" si="130">IF($B41,0,T40-IF(ISNUMBER(S40),S40,0))</f>
        <v>0</v>
      </c>
      <c r="U39" s="193">
        <f t="shared" ref="U39" ca="1" si="131">IF($B41,0,U40-IF(ISNUMBER(T40),T40,0))</f>
        <v>0</v>
      </c>
      <c r="V39" s="193">
        <f t="shared" ref="V39" ca="1" si="132">IF($B41,0,V40-IF(ISNUMBER(U40),U40,0))</f>
        <v>0</v>
      </c>
      <c r="W39" s="194">
        <f t="shared" ref="W39" ca="1" si="133">IF($B41,0,W40-IF(ISNUMBER(V40),V40,0))</f>
        <v>0</v>
      </c>
      <c r="X39" s="163"/>
      <c r="AC39" s="188">
        <f t="shared" ref="AC39" ca="1" si="134">IF($B41,0,AC40-IF(ISNUMBER(AB40),AB40,0))</f>
        <v>0</v>
      </c>
    </row>
    <row r="40" spans="1:29" customFormat="1" ht="13.8" x14ac:dyDescent="0.25">
      <c r="A40" s="11"/>
      <c r="B40" s="11"/>
      <c r="C40" s="11"/>
      <c r="D40" s="11"/>
      <c r="E40" s="11"/>
      <c r="F40" s="11"/>
      <c r="G40" s="11"/>
      <c r="H40" s="11"/>
      <c r="I40" s="11"/>
      <c r="J40" s="11"/>
      <c r="K40" s="11"/>
      <c r="L40" s="342"/>
      <c r="M40" s="336"/>
      <c r="N40" s="334"/>
      <c r="O40" s="145" t="s">
        <v>145</v>
      </c>
      <c r="P40" s="165">
        <f t="shared" ref="P40" ca="1" si="135">MIN(IF($B41,P39+IF(ISNUMBER(O40),O40,0),P41/$N39),1)</f>
        <v>0</v>
      </c>
      <c r="Q40" s="143">
        <f t="shared" ref="Q40" ca="1" si="136">MIN(IF($B41,Q39+IF(ISNUMBER(P40),P40,0),Q41/$N39),1)</f>
        <v>0.5</v>
      </c>
      <c r="R40" s="143">
        <f t="shared" ref="R40" ca="1" si="137">MIN(IF($B41,R39+IF(ISNUMBER(Q40),Q40,0),R41/$N39),1)</f>
        <v>0.75</v>
      </c>
      <c r="S40" s="143">
        <f t="shared" ref="S40" ca="1" si="138">MIN(IF($B41,S39+IF(ISNUMBER(R40),R40,0),S41/$N39),1)</f>
        <v>1</v>
      </c>
      <c r="T40" s="143">
        <f t="shared" ref="T40" ca="1" si="139">MIN(IF($B41,T39+IF(ISNUMBER(S40),S40,0),T41/$N39),1)</f>
        <v>1</v>
      </c>
      <c r="U40" s="143">
        <f t="shared" ref="U40" ca="1" si="140">MIN(IF($B41,U39+IF(ISNUMBER(T40),T40,0),U41/$N39),1)</f>
        <v>1</v>
      </c>
      <c r="V40" s="143">
        <f t="shared" ref="V40" ca="1" si="141">MIN(IF($B41,V39+IF(ISNUMBER(U40),U40,0),V41/$N39),1)</f>
        <v>1</v>
      </c>
      <c r="W40" s="143">
        <f t="shared" ref="W40" ca="1" si="142">MIN(IF($B41,W39+IF(ISNUMBER(V40),V40,0),W41/$N39),1)</f>
        <v>1</v>
      </c>
      <c r="X40" s="163"/>
      <c r="AC40" s="143">
        <f t="shared" ref="AC40" ca="1" si="143">MIN(IF($B41,AC39+IF(ISNUMBER(AB40),AB40,0),AC41/$N39),1)</f>
        <v>0</v>
      </c>
    </row>
    <row r="41" spans="1:29" customFormat="1" ht="13.8" x14ac:dyDescent="0.25">
      <c r="A41" s="11">
        <f ca="1">OFFSET(A41,-CFF.NumLinha,0)+1</f>
        <v>8</v>
      </c>
      <c r="B41" s="11" t="b">
        <f ca="1">$C41&gt;=OFFSET($C41,CFF.NumLinha,0)</f>
        <v>1</v>
      </c>
      <c r="C41" s="11">
        <f ca="1">INDEX(PO!A$12:A$121,MATCH($A41,PO!$V$12:$V$121,0))</f>
        <v>2</v>
      </c>
      <c r="D41" s="11">
        <f t="shared" ref="D41:D80" ca="1" si="144">IF(ISERROR(J41),I41,SMALL(I41:J41,1))-1</f>
        <v>2</v>
      </c>
      <c r="E41" s="11">
        <f ca="1">IF($C41=1,OFFSET(E41,-CFF.NumLinha,0)+1,OFFSET(E41,-CFF.NumLinha,0))</f>
        <v>3</v>
      </c>
      <c r="F41" s="11">
        <f ca="1">IF($C41=1,0,IF($C41=2,OFFSET(F41,-CFF.NumLinha,0)+1,OFFSET(F41,-CFF.NumLinha,0)))</f>
        <v>2</v>
      </c>
      <c r="G41" s="11">
        <f ca="1">IF(AND($C41&lt;=2,$C41&lt;&gt;0),0,IF($C41=3,OFFSET(G41,-CFF.NumLinha,0)+1,OFFSET(G41,-CFF.NumLinha,0)))</f>
        <v>0</v>
      </c>
      <c r="H41" s="11">
        <f ca="1">IF(AND($C41&lt;=3,$C41&lt;&gt;0),0,IF($C41=4,OFFSET(H41,-CFF.NumLinha,0)+1,OFFSET(H41,-CFF.NumLinha,0)))</f>
        <v>0</v>
      </c>
      <c r="I41" s="11">
        <f t="shared" ref="I41:I80" ca="1" si="145">MATCH(0,OFFSET($D41,1,$C41,ROW($A$81)-ROW($A41)),0)</f>
        <v>6</v>
      </c>
      <c r="J41" s="11">
        <f t="shared" ref="J41" ca="1" si="146">MATCH(OFFSET($D41,0,$C41)+1,OFFSET($D41,1,$C41,ROW($A$81)-ROW($A41)),0)</f>
        <v>3</v>
      </c>
      <c r="K41" s="156">
        <f ca="1">ROUND(INDEX(PO!T$12:T$121,MATCH($A41,PO!$V$12:$V$121,0)),2)+10^-12</f>
        <v>9.9999999999999998E-13</v>
      </c>
      <c r="L41" s="342"/>
      <c r="M41" s="336"/>
      <c r="N41" s="334"/>
      <c r="O41" s="171" t="s">
        <v>20</v>
      </c>
      <c r="P41" s="166">
        <f t="shared" ref="P41:W41" ca="1" si="147">IF($B41,ROUND(P40*$N39,2),ROUND(SUMIF(OFFSET($B41,1,0,$D41),TRUE,OFFSET(P41,1,0,$D41))/SUMIF(OFFSET($B41,1,0,$D41),TRUE,OFFSET($K41,1,0,$D41))*$N39,2))</f>
        <v>0</v>
      </c>
      <c r="Q41" s="144">
        <f t="shared" ca="1" si="147"/>
        <v>0</v>
      </c>
      <c r="R41" s="144">
        <f t="shared" ca="1" si="147"/>
        <v>0</v>
      </c>
      <c r="S41" s="144">
        <f t="shared" ca="1" si="147"/>
        <v>0</v>
      </c>
      <c r="T41" s="144">
        <f t="shared" ca="1" si="147"/>
        <v>0</v>
      </c>
      <c r="U41" s="144">
        <f t="shared" ca="1" si="147"/>
        <v>0</v>
      </c>
      <c r="V41" s="144">
        <f t="shared" ca="1" si="147"/>
        <v>0</v>
      </c>
      <c r="W41" s="174">
        <f t="shared" ca="1" si="147"/>
        <v>0</v>
      </c>
      <c r="X41" s="163"/>
      <c r="AC41" s="144">
        <f t="shared" ref="AC41" ca="1" si="148">IF($B41,ROUND(AC40*$N39,2),ROUND(SUMIF(OFFSET($B41,1,0,$D41),TRUE,OFFSET(AC41,1,0,$D41))/SUMIF(OFFSET($B41,1,0,$D41),TRUE,OFFSET($K41,1,0,$D41))*$N39,2))</f>
        <v>0</v>
      </c>
    </row>
    <row r="42" spans="1:29" customFormat="1" ht="14.25" customHeight="1" x14ac:dyDescent="0.25">
      <c r="A42" s="1"/>
      <c r="B42" s="1"/>
      <c r="C42" s="1"/>
      <c r="D42" s="1"/>
      <c r="E42" s="1"/>
      <c r="F42" s="1"/>
      <c r="G42" s="1"/>
      <c r="H42" s="1"/>
      <c r="I42" s="1"/>
      <c r="J42" s="1"/>
      <c r="K42" s="1"/>
      <c r="L42" s="341" t="str">
        <f ca="1">INDEX(PO!K$12:K$121,MATCH($A44,PO!$V$12:$V$121,0))</f>
        <v>3.3.</v>
      </c>
      <c r="M42" s="335" t="str">
        <f ca="1">INDEX(PO!N$12:N$121,MATCH($A44,PO!$V$12:$V$121,0))</f>
        <v>SINALIZAÇÃO</v>
      </c>
      <c r="N42" s="333">
        <f t="shared" ref="N42" ca="1" si="149">IF(ROUND(K44,2)=0,K44,ROUND(K44,2))</f>
        <v>9.9999999999999998E-13</v>
      </c>
      <c r="O42" s="187" t="s">
        <v>143</v>
      </c>
      <c r="P42" s="192">
        <f t="shared" ref="P42" ca="1" si="150">IF($B44,0,P43-IF(ISNUMBER(O43),O43,0))</f>
        <v>0</v>
      </c>
      <c r="Q42" s="193">
        <f t="shared" ref="Q42" ca="1" si="151">IF($B44,0,Q43-IF(ISNUMBER(P43),P43,0))</f>
        <v>0</v>
      </c>
      <c r="R42" s="193">
        <v>1</v>
      </c>
      <c r="S42" s="193">
        <f t="shared" ref="S42" ca="1" si="152">IF($B44,0,S43-IF(ISNUMBER(R43),R43,0))</f>
        <v>0</v>
      </c>
      <c r="T42" s="193">
        <f t="shared" ref="T42" ca="1" si="153">IF($B44,0,T43-IF(ISNUMBER(S43),S43,0))</f>
        <v>0</v>
      </c>
      <c r="U42" s="193">
        <f t="shared" ref="U42" ca="1" si="154">IF($B44,0,U43-IF(ISNUMBER(T43),T43,0))</f>
        <v>0</v>
      </c>
      <c r="V42" s="193">
        <f t="shared" ref="V42" ca="1" si="155">IF($B44,0,V43-IF(ISNUMBER(U43),U43,0))</f>
        <v>0</v>
      </c>
      <c r="W42" s="194">
        <f t="shared" ref="W42" ca="1" si="156">IF($B44,0,W43-IF(ISNUMBER(V43),V43,0))</f>
        <v>0</v>
      </c>
      <c r="X42" s="163"/>
      <c r="AC42" s="188">
        <f t="shared" ref="AC42" ca="1" si="157">IF($B44,0,AC43-IF(ISNUMBER(AB43),AB43,0))</f>
        <v>0</v>
      </c>
    </row>
    <row r="43" spans="1:29" customFormat="1" ht="13.8" x14ac:dyDescent="0.25">
      <c r="A43" s="11"/>
      <c r="B43" s="11"/>
      <c r="C43" s="11"/>
      <c r="D43" s="11"/>
      <c r="E43" s="11"/>
      <c r="F43" s="11"/>
      <c r="G43" s="11"/>
      <c r="H43" s="11"/>
      <c r="I43" s="11"/>
      <c r="J43" s="11"/>
      <c r="K43" s="11"/>
      <c r="L43" s="342"/>
      <c r="M43" s="336"/>
      <c r="N43" s="334"/>
      <c r="O43" s="145" t="s">
        <v>145</v>
      </c>
      <c r="P43" s="165">
        <f t="shared" ref="P43" ca="1" si="158">MIN(IF($B44,P42+IF(ISNUMBER(O43),O43,0),P44/$N42),1)</f>
        <v>0</v>
      </c>
      <c r="Q43" s="143">
        <f t="shared" ref="Q43" ca="1" si="159">MIN(IF($B44,Q42+IF(ISNUMBER(P43),P43,0),Q44/$N42),1)</f>
        <v>0</v>
      </c>
      <c r="R43" s="143">
        <f t="shared" ref="R43" ca="1" si="160">MIN(IF($B44,R42+IF(ISNUMBER(Q43),Q43,0),R44/$N42),1)</f>
        <v>1</v>
      </c>
      <c r="S43" s="143">
        <f t="shared" ref="S43" ca="1" si="161">MIN(IF($B44,S42+IF(ISNUMBER(R43),R43,0),S44/$N42),1)</f>
        <v>1</v>
      </c>
      <c r="T43" s="143">
        <f t="shared" ref="T43" ca="1" si="162">MIN(IF($B44,T42+IF(ISNUMBER(S43),S43,0),T44/$N42),1)</f>
        <v>1</v>
      </c>
      <c r="U43" s="143">
        <f t="shared" ref="U43" ca="1" si="163">MIN(IF($B44,U42+IF(ISNUMBER(T43),T43,0),U44/$N42),1)</f>
        <v>1</v>
      </c>
      <c r="V43" s="143">
        <f t="shared" ref="V43" ca="1" si="164">MIN(IF($B44,V42+IF(ISNUMBER(U43),U43,0),V44/$N42),1)</f>
        <v>1</v>
      </c>
      <c r="W43" s="143">
        <f t="shared" ref="W43" ca="1" si="165">MIN(IF($B44,W42+IF(ISNUMBER(V43),V43,0),W44/$N42),1)</f>
        <v>1</v>
      </c>
      <c r="X43" s="163"/>
      <c r="AC43" s="143">
        <f t="shared" ref="AC43" ca="1" si="166">MIN(IF($B44,AC42+IF(ISNUMBER(AB43),AB43,0),AC44/$N42),1)</f>
        <v>0</v>
      </c>
    </row>
    <row r="44" spans="1:29" customFormat="1" ht="13.8" x14ac:dyDescent="0.25">
      <c r="A44" s="11">
        <f ca="1">OFFSET(A44,-CFF.NumLinha,0)+1</f>
        <v>9</v>
      </c>
      <c r="B44" s="11" t="b">
        <f ca="1">$C44&gt;=OFFSET($C44,CFF.NumLinha,0)</f>
        <v>1</v>
      </c>
      <c r="C44" s="11">
        <f ca="1">INDEX(PO!A$12:A$121,MATCH($A44,PO!$V$12:$V$121,0))</f>
        <v>2</v>
      </c>
      <c r="D44" s="11">
        <f t="shared" ref="D44:D80" ca="1" si="167">IF(ISERROR(J44),I44,SMALL(I44:J44,1))-1</f>
        <v>2</v>
      </c>
      <c r="E44" s="11">
        <f ca="1">IF($C44=1,OFFSET(E44,-CFF.NumLinha,0)+1,OFFSET(E44,-CFF.NumLinha,0))</f>
        <v>3</v>
      </c>
      <c r="F44" s="11">
        <f ca="1">IF($C44=1,0,IF($C44=2,OFFSET(F44,-CFF.NumLinha,0)+1,OFFSET(F44,-CFF.NumLinha,0)))</f>
        <v>3</v>
      </c>
      <c r="G44" s="11">
        <f ca="1">IF(AND($C44&lt;=2,$C44&lt;&gt;0),0,IF($C44=3,OFFSET(G44,-CFF.NumLinha,0)+1,OFFSET(G44,-CFF.NumLinha,0)))</f>
        <v>0</v>
      </c>
      <c r="H44" s="11">
        <f ca="1">IF(AND($C44&lt;=3,$C44&lt;&gt;0),0,IF($C44=4,OFFSET(H44,-CFF.NumLinha,0)+1,OFFSET(H44,-CFF.NumLinha,0)))</f>
        <v>0</v>
      </c>
      <c r="I44" s="11">
        <f t="shared" ref="I44:I80" ca="1" si="168">MATCH(0,OFFSET($D44,1,$C44,ROW($A$81)-ROW($A44)),0)</f>
        <v>3</v>
      </c>
      <c r="J44" s="11" t="e">
        <f t="shared" ref="J44" ca="1" si="169">MATCH(OFFSET($D44,0,$C44)+1,OFFSET($D44,1,$C44,ROW($A$81)-ROW($A44)),0)</f>
        <v>#N/A</v>
      </c>
      <c r="K44" s="156">
        <f ca="1">ROUND(INDEX(PO!T$12:T$121,MATCH($A44,PO!$V$12:$V$121,0)),2)+10^-12</f>
        <v>9.9999999999999998E-13</v>
      </c>
      <c r="L44" s="342"/>
      <c r="M44" s="336"/>
      <c r="N44" s="334"/>
      <c r="O44" s="171" t="s">
        <v>20</v>
      </c>
      <c r="P44" s="166">
        <f t="shared" ref="P44:W44" ca="1" si="170">IF($B44,ROUND(P43*$N42,2),ROUND(SUMIF(OFFSET($B44,1,0,$D44),TRUE,OFFSET(P44,1,0,$D44))/SUMIF(OFFSET($B44,1,0,$D44),TRUE,OFFSET($K44,1,0,$D44))*$N42,2))</f>
        <v>0</v>
      </c>
      <c r="Q44" s="144">
        <f t="shared" ca="1" si="170"/>
        <v>0</v>
      </c>
      <c r="R44" s="144">
        <f t="shared" ca="1" si="170"/>
        <v>0</v>
      </c>
      <c r="S44" s="144">
        <f t="shared" ca="1" si="170"/>
        <v>0</v>
      </c>
      <c r="T44" s="144">
        <f t="shared" ca="1" si="170"/>
        <v>0</v>
      </c>
      <c r="U44" s="144">
        <f t="shared" ca="1" si="170"/>
        <v>0</v>
      </c>
      <c r="V44" s="144">
        <f t="shared" ca="1" si="170"/>
        <v>0</v>
      </c>
      <c r="W44" s="174">
        <f t="shared" ca="1" si="170"/>
        <v>0</v>
      </c>
      <c r="X44" s="163"/>
      <c r="AC44" s="144">
        <f t="shared" ref="AC44" ca="1" si="171">IF($B44,ROUND(AC43*$N42,2),ROUND(SUMIF(OFFSET($B44,1,0,$D44),TRUE,OFFSET(AC44,1,0,$D44))/SUMIF(OFFSET($B44,1,0,$D44),TRUE,OFFSET($K44,1,0,$D44))*$N42,2))</f>
        <v>0</v>
      </c>
    </row>
    <row r="45" spans="1:29" customFormat="1" ht="14.25" customHeight="1" x14ac:dyDescent="0.25">
      <c r="A45" s="1"/>
      <c r="B45" s="1"/>
      <c r="C45" s="1"/>
      <c r="D45" s="1"/>
      <c r="E45" s="1"/>
      <c r="F45" s="1"/>
      <c r="G45" s="1"/>
      <c r="H45" s="1"/>
      <c r="I45" s="1"/>
      <c r="J45" s="1"/>
      <c r="K45" s="1"/>
      <c r="L45" s="341" t="str">
        <f ca="1">INDEX(PO!K$12:K$121,MATCH($A47,PO!$V$12:$V$121,0))</f>
        <v>4.</v>
      </c>
      <c r="M45" s="335" t="str">
        <f ca="1">INDEX(PO!N$12:N$121,MATCH($A47,PO!$V$12:$V$121,0))</f>
        <v>TRECHO 3</v>
      </c>
      <c r="N45" s="333">
        <f t="shared" ref="N45" ca="1" si="172">IF(ROUND(K47,2)=0,K47,ROUND(K47,2))</f>
        <v>9.9999999999999998E-13</v>
      </c>
      <c r="O45" s="187" t="s">
        <v>143</v>
      </c>
      <c r="P45" s="192">
        <f t="shared" ref="P45" ca="1" si="173">IF($B47,0,P46-IF(ISNUMBER(O46),O46,0))</f>
        <v>0</v>
      </c>
      <c r="Q45" s="193">
        <f t="shared" ref="Q45" ca="1" si="174">IF($B47,0,Q46-IF(ISNUMBER(P46),P46,0))</f>
        <v>0</v>
      </c>
      <c r="R45" s="193">
        <f t="shared" ref="R45" ca="1" si="175">IF($B47,0,R46-IF(ISNUMBER(Q46),Q46,0))</f>
        <v>0</v>
      </c>
      <c r="S45" s="193">
        <f t="shared" ref="S45" ca="1" si="176">IF($B47,0,S46-IF(ISNUMBER(R46),R46,0))</f>
        <v>0</v>
      </c>
      <c r="T45" s="193">
        <f t="shared" ref="T45" ca="1" si="177">IF($B47,0,T46-IF(ISNUMBER(S46),S46,0))</f>
        <v>0</v>
      </c>
      <c r="U45" s="193">
        <f t="shared" ref="U45" ca="1" si="178">IF($B47,0,U46-IF(ISNUMBER(T46),T46,0))</f>
        <v>0</v>
      </c>
      <c r="V45" s="193">
        <f t="shared" ref="V45" ca="1" si="179">IF($B47,0,V46-IF(ISNUMBER(U46),U46,0))</f>
        <v>0</v>
      </c>
      <c r="W45" s="194">
        <f t="shared" ref="W45" ca="1" si="180">IF($B47,0,W46-IF(ISNUMBER(V46),V46,0))</f>
        <v>0</v>
      </c>
      <c r="X45" s="163"/>
      <c r="AC45" s="188">
        <f t="shared" ref="AC45" ca="1" si="181">IF($B47,0,AC46-IF(ISNUMBER(AB46),AB46,0))</f>
        <v>0</v>
      </c>
    </row>
    <row r="46" spans="1:29" customFormat="1" ht="13.8" x14ac:dyDescent="0.25">
      <c r="A46" s="11"/>
      <c r="B46" s="11"/>
      <c r="C46" s="11"/>
      <c r="D46" s="11"/>
      <c r="E46" s="11"/>
      <c r="F46" s="11"/>
      <c r="G46" s="11"/>
      <c r="H46" s="11"/>
      <c r="I46" s="11"/>
      <c r="J46" s="11"/>
      <c r="K46" s="11"/>
      <c r="L46" s="342"/>
      <c r="M46" s="336"/>
      <c r="N46" s="334"/>
      <c r="O46" s="145" t="s">
        <v>145</v>
      </c>
      <c r="P46" s="165">
        <f t="shared" ref="P46" ca="1" si="182">MIN(IF($B47,P45+IF(ISNUMBER(O46),O46,0),P47/$N45),1)</f>
        <v>0</v>
      </c>
      <c r="Q46" s="143">
        <f t="shared" ref="Q46" ca="1" si="183">MIN(IF($B47,Q45+IF(ISNUMBER(P46),P46,0),Q47/$N45),1)</f>
        <v>0</v>
      </c>
      <c r="R46" s="143">
        <f t="shared" ref="R46" ca="1" si="184">MIN(IF($B47,R45+IF(ISNUMBER(Q46),Q46,0),R47/$N45),1)</f>
        <v>0</v>
      </c>
      <c r="S46" s="143">
        <f t="shared" ref="S46" ca="1" si="185">MIN(IF($B47,S45+IF(ISNUMBER(R46),R46,0),S47/$N45),1)</f>
        <v>0</v>
      </c>
      <c r="T46" s="143">
        <f t="shared" ref="T46" ca="1" si="186">MIN(IF($B47,T45+IF(ISNUMBER(S46),S46,0),T47/$N45),1)</f>
        <v>0</v>
      </c>
      <c r="U46" s="143">
        <f t="shared" ref="U46" ca="1" si="187">MIN(IF($B47,U45+IF(ISNUMBER(T46),T46,0),U47/$N45),1)</f>
        <v>0</v>
      </c>
      <c r="V46" s="143">
        <f t="shared" ref="V46" ca="1" si="188">MIN(IF($B47,V45+IF(ISNUMBER(U46),U46,0),V47/$N45),1)</f>
        <v>0</v>
      </c>
      <c r="W46" s="143">
        <f t="shared" ref="W46" ca="1" si="189">MIN(IF($B47,W45+IF(ISNUMBER(V46),V46,0),W47/$N45),1)</f>
        <v>0</v>
      </c>
      <c r="X46" s="163"/>
      <c r="AC46" s="143">
        <f t="shared" ref="AC46" ca="1" si="190">MIN(IF($B47,AC45+IF(ISNUMBER(AB46),AB46,0),AC47/$N45),1)</f>
        <v>0</v>
      </c>
    </row>
    <row r="47" spans="1:29" customFormat="1" ht="13.8" x14ac:dyDescent="0.25">
      <c r="A47" s="11">
        <f ca="1">OFFSET(A47,-CFF.NumLinha,0)+1</f>
        <v>10</v>
      </c>
      <c r="B47" s="11" t="b">
        <f ca="1">$C47&gt;=OFFSET($C47,CFF.NumLinha,0)</f>
        <v>0</v>
      </c>
      <c r="C47" s="11">
        <f ca="1">INDEX(PO!A$12:A$121,MATCH($A47,PO!$V$12:$V$121,0))</f>
        <v>1</v>
      </c>
      <c r="D47" s="11">
        <f t="shared" ref="D47:D80" ca="1" si="191">IF(ISERROR(J47),I47,SMALL(I47:J47,1))-1</f>
        <v>11</v>
      </c>
      <c r="E47" s="11">
        <f ca="1">IF($C47=1,OFFSET(E47,-CFF.NumLinha,0)+1,OFFSET(E47,-CFF.NumLinha,0))</f>
        <v>4</v>
      </c>
      <c r="F47" s="11">
        <f ca="1">IF($C47=1,0,IF($C47=2,OFFSET(F47,-CFF.NumLinha,0)+1,OFFSET(F47,-CFF.NumLinha,0)))</f>
        <v>0</v>
      </c>
      <c r="G47" s="11">
        <f ca="1">IF(AND($C47&lt;=2,$C47&lt;&gt;0),0,IF($C47=3,OFFSET(G47,-CFF.NumLinha,0)+1,OFFSET(G47,-CFF.NumLinha,0)))</f>
        <v>0</v>
      </c>
      <c r="H47" s="11">
        <f ca="1">IF(AND($C47&lt;=3,$C47&lt;&gt;0),0,IF($C47=4,OFFSET(H47,-CFF.NumLinha,0)+1,OFFSET(H47,-CFF.NumLinha,0)))</f>
        <v>0</v>
      </c>
      <c r="I47" s="11">
        <f t="shared" ref="I47:I80" ca="1" si="192">MATCH(0,OFFSET($D47,1,$C47,ROW($A$81)-ROW($A47)),0)</f>
        <v>34</v>
      </c>
      <c r="J47" s="11">
        <f t="shared" ref="J47" ca="1" si="193">MATCH(OFFSET($D47,0,$C47)+1,OFFSET($D47,1,$C47,ROW($A$81)-ROW($A47)),0)</f>
        <v>12</v>
      </c>
      <c r="K47" s="156">
        <f ca="1">ROUND(INDEX(PO!T$12:T$121,MATCH($A47,PO!$V$12:$V$121,0)),2)+10^-12</f>
        <v>9.9999999999999998E-13</v>
      </c>
      <c r="L47" s="342"/>
      <c r="M47" s="336"/>
      <c r="N47" s="334"/>
      <c r="O47" s="171" t="s">
        <v>20</v>
      </c>
      <c r="P47" s="166">
        <f t="shared" ref="P47:W47" ca="1" si="194">IF($B47,ROUND(P46*$N45,2),ROUND(SUMIF(OFFSET($B47,1,0,$D47),TRUE,OFFSET(P47,1,0,$D47))/SUMIF(OFFSET($B47,1,0,$D47),TRUE,OFFSET($K47,1,0,$D47))*$N45,2))</f>
        <v>0</v>
      </c>
      <c r="Q47" s="144">
        <f t="shared" ca="1" si="194"/>
        <v>0</v>
      </c>
      <c r="R47" s="144">
        <f t="shared" ca="1" si="194"/>
        <v>0</v>
      </c>
      <c r="S47" s="144">
        <f t="shared" ca="1" si="194"/>
        <v>0</v>
      </c>
      <c r="T47" s="144">
        <f t="shared" ca="1" si="194"/>
        <v>0</v>
      </c>
      <c r="U47" s="144">
        <f t="shared" ca="1" si="194"/>
        <v>0</v>
      </c>
      <c r="V47" s="144">
        <f t="shared" ca="1" si="194"/>
        <v>0</v>
      </c>
      <c r="W47" s="174">
        <f t="shared" ca="1" si="194"/>
        <v>0</v>
      </c>
      <c r="X47" s="163"/>
      <c r="AC47" s="144">
        <f t="shared" ref="AC47" ca="1" si="195">IF($B47,ROUND(AC46*$N45,2),ROUND(SUMIF(OFFSET($B47,1,0,$D47),TRUE,OFFSET(AC47,1,0,$D47))/SUMIF(OFFSET($B47,1,0,$D47),TRUE,OFFSET($K47,1,0,$D47))*$N45,2))</f>
        <v>0</v>
      </c>
    </row>
    <row r="48" spans="1:29" customFormat="1" ht="14.25" customHeight="1" x14ac:dyDescent="0.25">
      <c r="A48" s="1"/>
      <c r="B48" s="1"/>
      <c r="C48" s="1"/>
      <c r="D48" s="1"/>
      <c r="E48" s="1"/>
      <c r="F48" s="1"/>
      <c r="G48" s="1"/>
      <c r="H48" s="1"/>
      <c r="I48" s="1"/>
      <c r="J48" s="1"/>
      <c r="K48" s="1"/>
      <c r="L48" s="341" t="str">
        <f ca="1">INDEX(PO!K$12:K$121,MATCH($A50,PO!$V$12:$V$121,0))</f>
        <v>4.1.</v>
      </c>
      <c r="M48" s="335" t="str">
        <f ca="1">INDEX(PO!N$12:N$121,MATCH($A50,PO!$V$12:$V$121,0))</f>
        <v>MOVIMENTAÇÃO DE TERRA E EXECUÇÃO DA BASE</v>
      </c>
      <c r="N48" s="333">
        <f t="shared" ref="N48" ca="1" si="196">IF(ROUND(K50,2)=0,K50,ROUND(K50,2))</f>
        <v>9.9999999999999998E-13</v>
      </c>
      <c r="O48" s="187" t="s">
        <v>143</v>
      </c>
      <c r="P48" s="192">
        <v>0.5</v>
      </c>
      <c r="Q48" s="193">
        <v>0.25</v>
      </c>
      <c r="R48" s="193">
        <v>0.25</v>
      </c>
      <c r="S48" s="193">
        <v>0.25</v>
      </c>
      <c r="T48" s="193">
        <f t="shared" ref="T48" ca="1" si="197">IF($B50,0,T49-IF(ISNUMBER(S49),S49,0))</f>
        <v>0</v>
      </c>
      <c r="U48" s="193">
        <f t="shared" ref="U48" ca="1" si="198">IF($B50,0,U49-IF(ISNUMBER(T49),T49,0))</f>
        <v>0</v>
      </c>
      <c r="V48" s="193">
        <f t="shared" ref="V48" ca="1" si="199">IF($B50,0,V49-IF(ISNUMBER(U49),U49,0))</f>
        <v>0</v>
      </c>
      <c r="W48" s="194">
        <f t="shared" ref="W48" ca="1" si="200">IF($B50,0,W49-IF(ISNUMBER(V49),V49,0))</f>
        <v>0</v>
      </c>
      <c r="X48" s="163"/>
      <c r="AC48" s="188">
        <f t="shared" ref="AC48" ca="1" si="201">IF($B50,0,AC49-IF(ISNUMBER(AB49),AB49,0))</f>
        <v>0</v>
      </c>
    </row>
    <row r="49" spans="1:29" customFormat="1" ht="13.8" x14ac:dyDescent="0.25">
      <c r="A49" s="11"/>
      <c r="B49" s="11"/>
      <c r="C49" s="11"/>
      <c r="D49" s="11"/>
      <c r="E49" s="11"/>
      <c r="F49" s="11"/>
      <c r="G49" s="11"/>
      <c r="H49" s="11"/>
      <c r="I49" s="11"/>
      <c r="J49" s="11"/>
      <c r="K49" s="11"/>
      <c r="L49" s="342"/>
      <c r="M49" s="336"/>
      <c r="N49" s="334"/>
      <c r="O49" s="145" t="s">
        <v>145</v>
      </c>
      <c r="P49" s="165">
        <f t="shared" ref="P49" ca="1" si="202">MIN(IF($B50,P48+IF(ISNUMBER(O49),O49,0),P50/$N48),1)</f>
        <v>0.5</v>
      </c>
      <c r="Q49" s="143">
        <f t="shared" ref="Q49" ca="1" si="203">MIN(IF($B50,Q48+IF(ISNUMBER(P49),P49,0),Q50/$N48),1)</f>
        <v>0.75</v>
      </c>
      <c r="R49" s="143">
        <f t="shared" ref="R49" ca="1" si="204">MIN(IF($B50,R48+IF(ISNUMBER(Q49),Q49,0),R50/$N48),1)</f>
        <v>1</v>
      </c>
      <c r="S49" s="143">
        <f t="shared" ref="S49" ca="1" si="205">MIN(IF($B50,S48+IF(ISNUMBER(R49),R49,0),S50/$N48),1)</f>
        <v>1</v>
      </c>
      <c r="T49" s="143">
        <f t="shared" ref="T49" ca="1" si="206">MIN(IF($B50,T48+IF(ISNUMBER(S49),S49,0),T50/$N48),1)</f>
        <v>1</v>
      </c>
      <c r="U49" s="143">
        <f t="shared" ref="U49" ca="1" si="207">MIN(IF($B50,U48+IF(ISNUMBER(T49),T49,0),U50/$N48),1)</f>
        <v>1</v>
      </c>
      <c r="V49" s="143">
        <f t="shared" ref="V49" ca="1" si="208">MIN(IF($B50,V48+IF(ISNUMBER(U49),U49,0),V50/$N48),1)</f>
        <v>1</v>
      </c>
      <c r="W49" s="143">
        <f t="shared" ref="W49" ca="1" si="209">MIN(IF($B50,W48+IF(ISNUMBER(V49),V49,0),W50/$N48),1)</f>
        <v>1</v>
      </c>
      <c r="X49" s="163"/>
      <c r="AC49" s="143">
        <f t="shared" ref="AC49" ca="1" si="210">MIN(IF($B50,AC48+IF(ISNUMBER(AB49),AB49,0),AC50/$N48),1)</f>
        <v>0</v>
      </c>
    </row>
    <row r="50" spans="1:29" customFormat="1" ht="13.8" x14ac:dyDescent="0.25">
      <c r="A50" s="11">
        <f ca="1">OFFSET(A50,-CFF.NumLinha,0)+1</f>
        <v>11</v>
      </c>
      <c r="B50" s="11" t="b">
        <f ca="1">$C50&gt;=OFFSET($C50,CFF.NumLinha,0)</f>
        <v>1</v>
      </c>
      <c r="C50" s="11">
        <f ca="1">INDEX(PO!A$12:A$121,MATCH($A50,PO!$V$12:$V$121,0))</f>
        <v>2</v>
      </c>
      <c r="D50" s="11">
        <f t="shared" ref="D50:D80" ca="1" si="211">IF(ISERROR(J50),I50,SMALL(I50:J50,1))-1</f>
        <v>2</v>
      </c>
      <c r="E50" s="11">
        <f ca="1">IF($C50=1,OFFSET(E50,-CFF.NumLinha,0)+1,OFFSET(E50,-CFF.NumLinha,0))</f>
        <v>4</v>
      </c>
      <c r="F50" s="11">
        <f ca="1">IF($C50=1,0,IF($C50=2,OFFSET(F50,-CFF.NumLinha,0)+1,OFFSET(F50,-CFF.NumLinha,0)))</f>
        <v>1</v>
      </c>
      <c r="G50" s="11">
        <f ca="1">IF(AND($C50&lt;=2,$C50&lt;&gt;0),0,IF($C50=3,OFFSET(G50,-CFF.NumLinha,0)+1,OFFSET(G50,-CFF.NumLinha,0)))</f>
        <v>0</v>
      </c>
      <c r="H50" s="11">
        <f ca="1">IF(AND($C50&lt;=3,$C50&lt;&gt;0),0,IF($C50=4,OFFSET(H50,-CFF.NumLinha,0)+1,OFFSET(H50,-CFF.NumLinha,0)))</f>
        <v>0</v>
      </c>
      <c r="I50" s="11">
        <f t="shared" ref="I50:I80" ca="1" si="212">MATCH(0,OFFSET($D50,1,$C50,ROW($A$81)-ROW($A50)),0)</f>
        <v>9</v>
      </c>
      <c r="J50" s="11">
        <f t="shared" ref="J50" ca="1" si="213">MATCH(OFFSET($D50,0,$C50)+1,OFFSET($D50,1,$C50,ROW($A$81)-ROW($A50)),0)</f>
        <v>3</v>
      </c>
      <c r="K50" s="156">
        <f ca="1">ROUND(INDEX(PO!T$12:T$121,MATCH($A50,PO!$V$12:$V$121,0)),2)+10^-12</f>
        <v>9.9999999999999998E-13</v>
      </c>
      <c r="L50" s="342"/>
      <c r="M50" s="336"/>
      <c r="N50" s="334"/>
      <c r="O50" s="171" t="s">
        <v>20</v>
      </c>
      <c r="P50" s="166">
        <f t="shared" ref="P50:W50" ca="1" si="214">IF($B50,ROUND(P49*$N48,2),ROUND(SUMIF(OFFSET($B50,1,0,$D50),TRUE,OFFSET(P50,1,0,$D50))/SUMIF(OFFSET($B50,1,0,$D50),TRUE,OFFSET($K50,1,0,$D50))*$N48,2))</f>
        <v>0</v>
      </c>
      <c r="Q50" s="144">
        <f t="shared" ca="1" si="214"/>
        <v>0</v>
      </c>
      <c r="R50" s="144">
        <f t="shared" ca="1" si="214"/>
        <v>0</v>
      </c>
      <c r="S50" s="144">
        <f t="shared" ca="1" si="214"/>
        <v>0</v>
      </c>
      <c r="T50" s="144">
        <f t="shared" ca="1" si="214"/>
        <v>0</v>
      </c>
      <c r="U50" s="144">
        <f t="shared" ca="1" si="214"/>
        <v>0</v>
      </c>
      <c r="V50" s="144">
        <f t="shared" ca="1" si="214"/>
        <v>0</v>
      </c>
      <c r="W50" s="174">
        <f t="shared" ca="1" si="214"/>
        <v>0</v>
      </c>
      <c r="X50" s="163"/>
      <c r="AC50" s="144">
        <f t="shared" ref="AC50" ca="1" si="215">IF($B50,ROUND(AC49*$N48,2),ROUND(SUMIF(OFFSET($B50,1,0,$D50),TRUE,OFFSET(AC50,1,0,$D50))/SUMIF(OFFSET($B50,1,0,$D50),TRUE,OFFSET($K50,1,0,$D50))*$N48,2))</f>
        <v>0</v>
      </c>
    </row>
    <row r="51" spans="1:29" customFormat="1" ht="14.25" customHeight="1" x14ac:dyDescent="0.25">
      <c r="A51" s="1"/>
      <c r="B51" s="1"/>
      <c r="C51" s="1"/>
      <c r="D51" s="1"/>
      <c r="E51" s="1"/>
      <c r="F51" s="1"/>
      <c r="G51" s="1"/>
      <c r="H51" s="1"/>
      <c r="I51" s="1"/>
      <c r="J51" s="1"/>
      <c r="K51" s="1"/>
      <c r="L51" s="341" t="str">
        <f ca="1">INDEX(PO!K$12:K$121,MATCH($A53,PO!$V$12:$V$121,0))</f>
        <v>4.2.</v>
      </c>
      <c r="M51" s="335" t="str">
        <f ca="1">INDEX(PO!N$12:N$121,MATCH($A53,PO!$V$12:$V$121,0))</f>
        <v>PAVIMENTAÇÃO EM CBUQ</v>
      </c>
      <c r="N51" s="333">
        <f t="shared" ref="N51" ca="1" si="216">IF(ROUND(K53,2)=0,K53,ROUND(K53,2))</f>
        <v>9.9999999999999998E-13</v>
      </c>
      <c r="O51" s="187" t="s">
        <v>143</v>
      </c>
      <c r="P51" s="192">
        <f t="shared" ref="P51" ca="1" si="217">IF($B53,0,P52-IF(ISNUMBER(O52),O52,0))</f>
        <v>0</v>
      </c>
      <c r="Q51" s="193">
        <f t="shared" ref="Q51" ca="1" si="218">IF($B53,0,Q52-IF(ISNUMBER(P52),P52,0))</f>
        <v>0</v>
      </c>
      <c r="R51" s="193">
        <v>0.5</v>
      </c>
      <c r="S51" s="193">
        <v>0.5</v>
      </c>
      <c r="T51" s="193">
        <f t="shared" ref="T51" ca="1" si="219">IF($B53,0,T52-IF(ISNUMBER(S52),S52,0))</f>
        <v>0</v>
      </c>
      <c r="U51" s="193">
        <f t="shared" ref="U51" ca="1" si="220">IF($B53,0,U52-IF(ISNUMBER(T52),T52,0))</f>
        <v>0</v>
      </c>
      <c r="V51" s="193">
        <f t="shared" ref="V51" ca="1" si="221">IF($B53,0,V52-IF(ISNUMBER(U52),U52,0))</f>
        <v>0</v>
      </c>
      <c r="W51" s="194">
        <f t="shared" ref="W51" ca="1" si="222">IF($B53,0,W52-IF(ISNUMBER(V52),V52,0))</f>
        <v>0</v>
      </c>
      <c r="X51" s="163"/>
      <c r="AC51" s="188">
        <f t="shared" ref="AC51" ca="1" si="223">IF($B53,0,AC52-IF(ISNUMBER(AB52),AB52,0))</f>
        <v>0</v>
      </c>
    </row>
    <row r="52" spans="1:29" customFormat="1" ht="13.8" x14ac:dyDescent="0.25">
      <c r="A52" s="11"/>
      <c r="B52" s="11"/>
      <c r="C52" s="11"/>
      <c r="D52" s="11"/>
      <c r="E52" s="11"/>
      <c r="F52" s="11"/>
      <c r="G52" s="11"/>
      <c r="H52" s="11"/>
      <c r="I52" s="11"/>
      <c r="J52" s="11"/>
      <c r="K52" s="11"/>
      <c r="L52" s="342"/>
      <c r="M52" s="336"/>
      <c r="N52" s="334"/>
      <c r="O52" s="145" t="s">
        <v>145</v>
      </c>
      <c r="P52" s="165">
        <f t="shared" ref="P52" ca="1" si="224">MIN(IF($B53,P51+IF(ISNUMBER(O52),O52,0),P53/$N51),1)</f>
        <v>0</v>
      </c>
      <c r="Q52" s="143">
        <f t="shared" ref="Q52" ca="1" si="225">MIN(IF($B53,Q51+IF(ISNUMBER(P52),P52,0),Q53/$N51),1)</f>
        <v>0</v>
      </c>
      <c r="R52" s="143">
        <f t="shared" ref="R52" ca="1" si="226">MIN(IF($B53,R51+IF(ISNUMBER(Q52),Q52,0),R53/$N51),1)</f>
        <v>0.5</v>
      </c>
      <c r="S52" s="143">
        <f t="shared" ref="S52" ca="1" si="227">MIN(IF($B53,S51+IF(ISNUMBER(R52),R52,0),S53/$N51),1)</f>
        <v>1</v>
      </c>
      <c r="T52" s="143">
        <f t="shared" ref="T52" ca="1" si="228">MIN(IF($B53,T51+IF(ISNUMBER(S52),S52,0),T53/$N51),1)</f>
        <v>1</v>
      </c>
      <c r="U52" s="143">
        <f t="shared" ref="U52" ca="1" si="229">MIN(IF($B53,U51+IF(ISNUMBER(T52),T52,0),U53/$N51),1)</f>
        <v>1</v>
      </c>
      <c r="V52" s="143">
        <f t="shared" ref="V52" ca="1" si="230">MIN(IF($B53,V51+IF(ISNUMBER(U52),U52,0),V53/$N51),1)</f>
        <v>1</v>
      </c>
      <c r="W52" s="143">
        <f t="shared" ref="W52" ca="1" si="231">MIN(IF($B53,W51+IF(ISNUMBER(V52),V52,0),W53/$N51),1)</f>
        <v>1</v>
      </c>
      <c r="X52" s="163"/>
      <c r="AC52" s="143">
        <f t="shared" ref="AC52" ca="1" si="232">MIN(IF($B53,AC51+IF(ISNUMBER(AB52),AB52,0),AC53/$N51),1)</f>
        <v>0</v>
      </c>
    </row>
    <row r="53" spans="1:29" customFormat="1" ht="13.8" x14ac:dyDescent="0.25">
      <c r="A53" s="11">
        <f ca="1">OFFSET(A53,-CFF.NumLinha,0)+1</f>
        <v>12</v>
      </c>
      <c r="B53" s="11" t="b">
        <f ca="1">$C53&gt;=OFFSET($C53,CFF.NumLinha,0)</f>
        <v>1</v>
      </c>
      <c r="C53" s="11">
        <f ca="1">INDEX(PO!A$12:A$121,MATCH($A53,PO!$V$12:$V$121,0))</f>
        <v>2</v>
      </c>
      <c r="D53" s="11">
        <f t="shared" ref="D53:D80" ca="1" si="233">IF(ISERROR(J53),I53,SMALL(I53:J53,1))-1</f>
        <v>2</v>
      </c>
      <c r="E53" s="11">
        <f ca="1">IF($C53=1,OFFSET(E53,-CFF.NumLinha,0)+1,OFFSET(E53,-CFF.NumLinha,0))</f>
        <v>4</v>
      </c>
      <c r="F53" s="11">
        <f ca="1">IF($C53=1,0,IF($C53=2,OFFSET(F53,-CFF.NumLinha,0)+1,OFFSET(F53,-CFF.NumLinha,0)))</f>
        <v>2</v>
      </c>
      <c r="G53" s="11">
        <f ca="1">IF(AND($C53&lt;=2,$C53&lt;&gt;0),0,IF($C53=3,OFFSET(G53,-CFF.NumLinha,0)+1,OFFSET(G53,-CFF.NumLinha,0)))</f>
        <v>0</v>
      </c>
      <c r="H53" s="11">
        <f ca="1">IF(AND($C53&lt;=3,$C53&lt;&gt;0),0,IF($C53=4,OFFSET(H53,-CFF.NumLinha,0)+1,OFFSET(H53,-CFF.NumLinha,0)))</f>
        <v>0</v>
      </c>
      <c r="I53" s="11">
        <f t="shared" ref="I53:I80" ca="1" si="234">MATCH(0,OFFSET($D53,1,$C53,ROW($A$81)-ROW($A53)),0)</f>
        <v>6</v>
      </c>
      <c r="J53" s="11">
        <f t="shared" ref="J53" ca="1" si="235">MATCH(OFFSET($D53,0,$C53)+1,OFFSET($D53,1,$C53,ROW($A$81)-ROW($A53)),0)</f>
        <v>3</v>
      </c>
      <c r="K53" s="156">
        <f ca="1">ROUND(INDEX(PO!T$12:T$121,MATCH($A53,PO!$V$12:$V$121,0)),2)+10^-12</f>
        <v>9.9999999999999998E-13</v>
      </c>
      <c r="L53" s="342"/>
      <c r="M53" s="336"/>
      <c r="N53" s="334"/>
      <c r="O53" s="171" t="s">
        <v>20</v>
      </c>
      <c r="P53" s="166">
        <f t="shared" ref="P53:W53" ca="1" si="236">IF($B53,ROUND(P52*$N51,2),ROUND(SUMIF(OFFSET($B53,1,0,$D53),TRUE,OFFSET(P53,1,0,$D53))/SUMIF(OFFSET($B53,1,0,$D53),TRUE,OFFSET($K53,1,0,$D53))*$N51,2))</f>
        <v>0</v>
      </c>
      <c r="Q53" s="144">
        <f t="shared" ca="1" si="236"/>
        <v>0</v>
      </c>
      <c r="R53" s="144">
        <f t="shared" ca="1" si="236"/>
        <v>0</v>
      </c>
      <c r="S53" s="144">
        <f t="shared" ca="1" si="236"/>
        <v>0</v>
      </c>
      <c r="T53" s="144">
        <f t="shared" ca="1" si="236"/>
        <v>0</v>
      </c>
      <c r="U53" s="144">
        <f t="shared" ca="1" si="236"/>
        <v>0</v>
      </c>
      <c r="V53" s="144">
        <f t="shared" ca="1" si="236"/>
        <v>0</v>
      </c>
      <c r="W53" s="174">
        <f t="shared" ca="1" si="236"/>
        <v>0</v>
      </c>
      <c r="X53" s="163"/>
      <c r="AC53" s="144">
        <f t="shared" ref="AC53" ca="1" si="237">IF($B53,ROUND(AC52*$N51,2),ROUND(SUMIF(OFFSET($B53,1,0,$D53),TRUE,OFFSET(AC53,1,0,$D53))/SUMIF(OFFSET($B53,1,0,$D53),TRUE,OFFSET($K53,1,0,$D53))*$N51,2))</f>
        <v>0</v>
      </c>
    </row>
    <row r="54" spans="1:29" customFormat="1" ht="14.25" customHeight="1" x14ac:dyDescent="0.25">
      <c r="A54" s="1"/>
      <c r="B54" s="1"/>
      <c r="C54" s="1"/>
      <c r="D54" s="1"/>
      <c r="E54" s="1"/>
      <c r="F54" s="1"/>
      <c r="G54" s="1"/>
      <c r="H54" s="1"/>
      <c r="I54" s="1"/>
      <c r="J54" s="1"/>
      <c r="K54" s="1"/>
      <c r="L54" s="341" t="str">
        <f ca="1">INDEX(PO!K$12:K$121,MATCH($A56,PO!$V$12:$V$121,0))</f>
        <v>4.3.</v>
      </c>
      <c r="M54" s="335" t="str">
        <f ca="1">INDEX(PO!N$12:N$121,MATCH($A56,PO!$V$12:$V$121,0))</f>
        <v>SINALIZAÇÃO</v>
      </c>
      <c r="N54" s="333">
        <f t="shared" ref="N54" ca="1" si="238">IF(ROUND(K56,2)=0,K56,ROUND(K56,2))</f>
        <v>9.9999999999999998E-13</v>
      </c>
      <c r="O54" s="187" t="s">
        <v>143</v>
      </c>
      <c r="P54" s="192">
        <f t="shared" ref="P54" ca="1" si="239">IF($B56,0,P55-IF(ISNUMBER(O55),O55,0))</f>
        <v>0</v>
      </c>
      <c r="Q54" s="193">
        <f t="shared" ref="Q54" ca="1" si="240">IF($B56,0,Q55-IF(ISNUMBER(P55),P55,0))</f>
        <v>0</v>
      </c>
      <c r="R54" s="193">
        <f t="shared" ref="R54" ca="1" si="241">IF($B56,0,R55-IF(ISNUMBER(Q55),Q55,0))</f>
        <v>0</v>
      </c>
      <c r="S54" s="193">
        <v>1</v>
      </c>
      <c r="T54" s="193">
        <f t="shared" ref="T54" ca="1" si="242">IF($B56,0,T55-IF(ISNUMBER(S55),S55,0))</f>
        <v>0</v>
      </c>
      <c r="U54" s="193">
        <f t="shared" ref="U54" ca="1" si="243">IF($B56,0,U55-IF(ISNUMBER(T55),T55,0))</f>
        <v>0</v>
      </c>
      <c r="V54" s="193">
        <f t="shared" ref="V54" ca="1" si="244">IF($B56,0,V55-IF(ISNUMBER(U55),U55,0))</f>
        <v>0</v>
      </c>
      <c r="W54" s="194">
        <f t="shared" ref="W54" ca="1" si="245">IF($B56,0,W55-IF(ISNUMBER(V55),V55,0))</f>
        <v>0</v>
      </c>
      <c r="X54" s="163"/>
      <c r="AC54" s="188">
        <f t="shared" ref="AC54" ca="1" si="246">IF($B56,0,AC55-IF(ISNUMBER(AB55),AB55,0))</f>
        <v>0</v>
      </c>
    </row>
    <row r="55" spans="1:29" customFormat="1" ht="13.8" x14ac:dyDescent="0.25">
      <c r="A55" s="11"/>
      <c r="B55" s="11"/>
      <c r="C55" s="11"/>
      <c r="D55" s="11"/>
      <c r="E55" s="11"/>
      <c r="F55" s="11"/>
      <c r="G55" s="11"/>
      <c r="H55" s="11"/>
      <c r="I55" s="11"/>
      <c r="J55" s="11"/>
      <c r="K55" s="11"/>
      <c r="L55" s="342"/>
      <c r="M55" s="336"/>
      <c r="N55" s="334"/>
      <c r="O55" s="145" t="s">
        <v>145</v>
      </c>
      <c r="P55" s="165">
        <f t="shared" ref="P55" ca="1" si="247">MIN(IF($B56,P54+IF(ISNUMBER(O55),O55,0),P56/$N54),1)</f>
        <v>0</v>
      </c>
      <c r="Q55" s="143">
        <f t="shared" ref="Q55" ca="1" si="248">MIN(IF($B56,Q54+IF(ISNUMBER(P55),P55,0),Q56/$N54),1)</f>
        <v>0</v>
      </c>
      <c r="R55" s="143">
        <f t="shared" ref="R55" ca="1" si="249">MIN(IF($B56,R54+IF(ISNUMBER(Q55),Q55,0),R56/$N54),1)</f>
        <v>0</v>
      </c>
      <c r="S55" s="143">
        <f t="shared" ref="S55" ca="1" si="250">MIN(IF($B56,S54+IF(ISNUMBER(R55),R55,0),S56/$N54),1)</f>
        <v>1</v>
      </c>
      <c r="T55" s="143">
        <f t="shared" ref="T55" ca="1" si="251">MIN(IF($B56,T54+IF(ISNUMBER(S55),S55,0),T56/$N54),1)</f>
        <v>1</v>
      </c>
      <c r="U55" s="143">
        <f t="shared" ref="U55" ca="1" si="252">MIN(IF($B56,U54+IF(ISNUMBER(T55),T55,0),U56/$N54),1)</f>
        <v>1</v>
      </c>
      <c r="V55" s="143">
        <f t="shared" ref="V55" ca="1" si="253">MIN(IF($B56,V54+IF(ISNUMBER(U55),U55,0),V56/$N54),1)</f>
        <v>1</v>
      </c>
      <c r="W55" s="143">
        <f t="shared" ref="W55" ca="1" si="254">MIN(IF($B56,W54+IF(ISNUMBER(V55),V55,0),W56/$N54),1)</f>
        <v>1</v>
      </c>
      <c r="X55" s="163"/>
      <c r="AC55" s="143">
        <f t="shared" ref="AC55" ca="1" si="255">MIN(IF($B56,AC54+IF(ISNUMBER(AB55),AB55,0),AC56/$N54),1)</f>
        <v>0</v>
      </c>
    </row>
    <row r="56" spans="1:29" customFormat="1" ht="13.8" x14ac:dyDescent="0.25">
      <c r="A56" s="11">
        <f ca="1">OFFSET(A56,-CFF.NumLinha,0)+1</f>
        <v>13</v>
      </c>
      <c r="B56" s="11" t="b">
        <f ca="1">$C56&gt;=OFFSET($C56,CFF.NumLinha,0)</f>
        <v>1</v>
      </c>
      <c r="C56" s="11">
        <f ca="1">INDEX(PO!A$12:A$121,MATCH($A56,PO!$V$12:$V$121,0))</f>
        <v>2</v>
      </c>
      <c r="D56" s="11">
        <f t="shared" ref="D56:D80" ca="1" si="256">IF(ISERROR(J56),I56,SMALL(I56:J56,1))-1</f>
        <v>2</v>
      </c>
      <c r="E56" s="11">
        <f ca="1">IF($C56=1,OFFSET(E56,-CFF.NumLinha,0)+1,OFFSET(E56,-CFF.NumLinha,0))</f>
        <v>4</v>
      </c>
      <c r="F56" s="11">
        <f ca="1">IF($C56=1,0,IF($C56=2,OFFSET(F56,-CFF.NumLinha,0)+1,OFFSET(F56,-CFF.NumLinha,0)))</f>
        <v>3</v>
      </c>
      <c r="G56" s="11">
        <f ca="1">IF(AND($C56&lt;=2,$C56&lt;&gt;0),0,IF($C56=3,OFFSET(G56,-CFF.NumLinha,0)+1,OFFSET(G56,-CFF.NumLinha,0)))</f>
        <v>0</v>
      </c>
      <c r="H56" s="11">
        <f ca="1">IF(AND($C56&lt;=3,$C56&lt;&gt;0),0,IF($C56=4,OFFSET(H56,-CFF.NumLinha,0)+1,OFFSET(H56,-CFF.NumLinha,0)))</f>
        <v>0</v>
      </c>
      <c r="I56" s="11">
        <f t="shared" ref="I56:I80" ca="1" si="257">MATCH(0,OFFSET($D56,1,$C56,ROW($A$81)-ROW($A56)),0)</f>
        <v>3</v>
      </c>
      <c r="J56" s="11" t="e">
        <f t="shared" ref="J56" ca="1" si="258">MATCH(OFFSET($D56,0,$C56)+1,OFFSET($D56,1,$C56,ROW($A$81)-ROW($A56)),0)</f>
        <v>#N/A</v>
      </c>
      <c r="K56" s="156">
        <f ca="1">ROUND(INDEX(PO!T$12:T$121,MATCH($A56,PO!$V$12:$V$121,0)),2)+10^-12</f>
        <v>9.9999999999999998E-13</v>
      </c>
      <c r="L56" s="342"/>
      <c r="M56" s="336"/>
      <c r="N56" s="334"/>
      <c r="O56" s="171" t="s">
        <v>20</v>
      </c>
      <c r="P56" s="166">
        <f t="shared" ref="P56:W56" ca="1" si="259">IF($B56,ROUND(P55*$N54,2),ROUND(SUMIF(OFFSET($B56,1,0,$D56),TRUE,OFFSET(P56,1,0,$D56))/SUMIF(OFFSET($B56,1,0,$D56),TRUE,OFFSET($K56,1,0,$D56))*$N54,2))</f>
        <v>0</v>
      </c>
      <c r="Q56" s="144">
        <f t="shared" ca="1" si="259"/>
        <v>0</v>
      </c>
      <c r="R56" s="144">
        <f t="shared" ca="1" si="259"/>
        <v>0</v>
      </c>
      <c r="S56" s="144">
        <f t="shared" ca="1" si="259"/>
        <v>0</v>
      </c>
      <c r="T56" s="144">
        <f t="shared" ca="1" si="259"/>
        <v>0</v>
      </c>
      <c r="U56" s="144">
        <f t="shared" ca="1" si="259"/>
        <v>0</v>
      </c>
      <c r="V56" s="144">
        <f t="shared" ca="1" si="259"/>
        <v>0</v>
      </c>
      <c r="W56" s="174">
        <f t="shared" ca="1" si="259"/>
        <v>0</v>
      </c>
      <c r="X56" s="163"/>
      <c r="AC56" s="144">
        <f t="shared" ref="AC56" ca="1" si="260">IF($B56,ROUND(AC55*$N54,2),ROUND(SUMIF(OFFSET($B56,1,0,$D56),TRUE,OFFSET(AC56,1,0,$D56))/SUMIF(OFFSET($B56,1,0,$D56),TRUE,OFFSET($K56,1,0,$D56))*$N54,2))</f>
        <v>0</v>
      </c>
    </row>
    <row r="57" spans="1:29" customFormat="1" ht="14.25" customHeight="1" x14ac:dyDescent="0.25">
      <c r="A57" s="1"/>
      <c r="B57" s="1"/>
      <c r="C57" s="1"/>
      <c r="D57" s="1"/>
      <c r="E57" s="1"/>
      <c r="F57" s="1"/>
      <c r="G57" s="1"/>
      <c r="H57" s="1"/>
      <c r="I57" s="1"/>
      <c r="J57" s="1"/>
      <c r="K57" s="1"/>
      <c r="L57" s="341" t="str">
        <f ca="1">INDEX(PO!K$12:K$121,MATCH($A59,PO!$V$12:$V$121,0))</f>
        <v>5.</v>
      </c>
      <c r="M57" s="335" t="str">
        <f ca="1">INDEX(PO!N$12:N$121,MATCH($A59,PO!$V$12:$V$121,0))</f>
        <v>TRECHO 4</v>
      </c>
      <c r="N57" s="333">
        <f t="shared" ref="N57" ca="1" si="261">IF(ROUND(K59,2)=0,K59,ROUND(K59,2))</f>
        <v>9.9999999999999998E-13</v>
      </c>
      <c r="O57" s="187" t="s">
        <v>143</v>
      </c>
      <c r="P57" s="192">
        <f t="shared" ref="P57" ca="1" si="262">IF($B59,0,P58-IF(ISNUMBER(O58),O58,0))</f>
        <v>0</v>
      </c>
      <c r="Q57" s="193">
        <f t="shared" ref="Q57" ca="1" si="263">IF($B59,0,Q58-IF(ISNUMBER(P58),P58,0))</f>
        <v>0</v>
      </c>
      <c r="R57" s="193">
        <f t="shared" ref="R57" ca="1" si="264">IF($B59,0,R58-IF(ISNUMBER(Q58),Q58,0))</f>
        <v>0</v>
      </c>
      <c r="S57" s="193">
        <f t="shared" ref="S57" ca="1" si="265">IF($B59,0,S58-IF(ISNUMBER(R58),R58,0))</f>
        <v>0</v>
      </c>
      <c r="T57" s="193">
        <f t="shared" ref="T57" ca="1" si="266">IF($B59,0,T58-IF(ISNUMBER(S58),S58,0))</f>
        <v>0</v>
      </c>
      <c r="U57" s="193">
        <f t="shared" ref="U57" ca="1" si="267">IF($B59,0,U58-IF(ISNUMBER(T58),T58,0))</f>
        <v>0</v>
      </c>
      <c r="V57" s="193">
        <f t="shared" ref="V57" ca="1" si="268">IF($B59,0,V58-IF(ISNUMBER(U58),U58,0))</f>
        <v>0</v>
      </c>
      <c r="W57" s="194">
        <f t="shared" ref="W57" ca="1" si="269">IF($B59,0,W58-IF(ISNUMBER(V58),V58,0))</f>
        <v>0</v>
      </c>
      <c r="X57" s="163"/>
      <c r="AC57" s="188">
        <f t="shared" ref="AC57" ca="1" si="270">IF($B59,0,AC58-IF(ISNUMBER(AB58),AB58,0))</f>
        <v>0</v>
      </c>
    </row>
    <row r="58" spans="1:29" customFormat="1" ht="13.8" x14ac:dyDescent="0.25">
      <c r="A58" s="11"/>
      <c r="B58" s="11"/>
      <c r="C58" s="11"/>
      <c r="D58" s="11"/>
      <c r="E58" s="11"/>
      <c r="F58" s="11"/>
      <c r="G58" s="11"/>
      <c r="H58" s="11"/>
      <c r="I58" s="11"/>
      <c r="J58" s="11"/>
      <c r="K58" s="11"/>
      <c r="L58" s="342"/>
      <c r="M58" s="336"/>
      <c r="N58" s="334"/>
      <c r="O58" s="145" t="s">
        <v>145</v>
      </c>
      <c r="P58" s="165">
        <f t="shared" ref="P58" ca="1" si="271">MIN(IF($B59,P57+IF(ISNUMBER(O58),O58,0),P59/$N57),1)</f>
        <v>0</v>
      </c>
      <c r="Q58" s="143">
        <f t="shared" ref="Q58" ca="1" si="272">MIN(IF($B59,Q57+IF(ISNUMBER(P58),P58,0),Q59/$N57),1)</f>
        <v>0</v>
      </c>
      <c r="R58" s="143">
        <f t="shared" ref="R58" ca="1" si="273">MIN(IF($B59,R57+IF(ISNUMBER(Q58),Q58,0),R59/$N57),1)</f>
        <v>0</v>
      </c>
      <c r="S58" s="143">
        <f t="shared" ref="S58" ca="1" si="274">MIN(IF($B59,S57+IF(ISNUMBER(R58),R58,0),S59/$N57),1)</f>
        <v>0</v>
      </c>
      <c r="T58" s="143">
        <f t="shared" ref="T58" ca="1" si="275">MIN(IF($B59,T57+IF(ISNUMBER(S58),S58,0),T59/$N57),1)</f>
        <v>0</v>
      </c>
      <c r="U58" s="143">
        <f t="shared" ref="U58" ca="1" si="276">MIN(IF($B59,U57+IF(ISNUMBER(T58),T58,0),U59/$N57),1)</f>
        <v>0</v>
      </c>
      <c r="V58" s="143">
        <f t="shared" ref="V58" ca="1" si="277">MIN(IF($B59,V57+IF(ISNUMBER(U58),U58,0),V59/$N57),1)</f>
        <v>0</v>
      </c>
      <c r="W58" s="143">
        <f t="shared" ref="W58" ca="1" si="278">MIN(IF($B59,W57+IF(ISNUMBER(V58),V58,0),W59/$N57),1)</f>
        <v>0</v>
      </c>
      <c r="X58" s="163"/>
      <c r="AC58" s="143">
        <f t="shared" ref="AC58" ca="1" si="279">MIN(IF($B59,AC57+IF(ISNUMBER(AB58),AB58,0),AC59/$N57),1)</f>
        <v>0</v>
      </c>
    </row>
    <row r="59" spans="1:29" customFormat="1" ht="13.8" x14ac:dyDescent="0.25">
      <c r="A59" s="11">
        <f ca="1">OFFSET(A59,-CFF.NumLinha,0)+1</f>
        <v>14</v>
      </c>
      <c r="B59" s="11" t="b">
        <f ca="1">$C59&gt;=OFFSET($C59,CFF.NumLinha,0)</f>
        <v>0</v>
      </c>
      <c r="C59" s="11">
        <f ca="1">INDEX(PO!A$12:A$121,MATCH($A59,PO!$V$12:$V$121,0))</f>
        <v>1</v>
      </c>
      <c r="D59" s="11">
        <f t="shared" ref="D59:D80" ca="1" si="280">IF(ISERROR(J59),I59,SMALL(I59:J59,1))-1</f>
        <v>11</v>
      </c>
      <c r="E59" s="11">
        <f ca="1">IF($C59=1,OFFSET(E59,-CFF.NumLinha,0)+1,OFFSET(E59,-CFF.NumLinha,0))</f>
        <v>5</v>
      </c>
      <c r="F59" s="11">
        <f ca="1">IF($C59=1,0,IF($C59=2,OFFSET(F59,-CFF.NumLinha,0)+1,OFFSET(F59,-CFF.NumLinha,0)))</f>
        <v>0</v>
      </c>
      <c r="G59" s="11">
        <f ca="1">IF(AND($C59&lt;=2,$C59&lt;&gt;0),0,IF($C59=3,OFFSET(G59,-CFF.NumLinha,0)+1,OFFSET(G59,-CFF.NumLinha,0)))</f>
        <v>0</v>
      </c>
      <c r="H59" s="11">
        <f ca="1">IF(AND($C59&lt;=3,$C59&lt;&gt;0),0,IF($C59=4,OFFSET(H59,-CFF.NumLinha,0)+1,OFFSET(H59,-CFF.NumLinha,0)))</f>
        <v>0</v>
      </c>
      <c r="I59" s="11">
        <f t="shared" ref="I59:I80" ca="1" si="281">MATCH(0,OFFSET($D59,1,$C59,ROW($A$81)-ROW($A59)),0)</f>
        <v>22</v>
      </c>
      <c r="J59" s="11">
        <f t="shared" ref="J59" ca="1" si="282">MATCH(OFFSET($D59,0,$C59)+1,OFFSET($D59,1,$C59,ROW($A$81)-ROW($A59)),0)</f>
        <v>12</v>
      </c>
      <c r="K59" s="156">
        <f ca="1">ROUND(INDEX(PO!T$12:T$121,MATCH($A59,PO!$V$12:$V$121,0)),2)+10^-12</f>
        <v>9.9999999999999998E-13</v>
      </c>
      <c r="L59" s="342"/>
      <c r="M59" s="336"/>
      <c r="N59" s="334"/>
      <c r="O59" s="171" t="s">
        <v>20</v>
      </c>
      <c r="P59" s="166">
        <f t="shared" ref="P59:W59" ca="1" si="283">IF($B59,ROUND(P58*$N57,2),ROUND(SUMIF(OFFSET($B59,1,0,$D59),TRUE,OFFSET(P59,1,0,$D59))/SUMIF(OFFSET($B59,1,0,$D59),TRUE,OFFSET($K59,1,0,$D59))*$N57,2))</f>
        <v>0</v>
      </c>
      <c r="Q59" s="144">
        <f t="shared" ca="1" si="283"/>
        <v>0</v>
      </c>
      <c r="R59" s="144">
        <f t="shared" ca="1" si="283"/>
        <v>0</v>
      </c>
      <c r="S59" s="144">
        <f t="shared" ca="1" si="283"/>
        <v>0</v>
      </c>
      <c r="T59" s="144">
        <f t="shared" ca="1" si="283"/>
        <v>0</v>
      </c>
      <c r="U59" s="144">
        <f t="shared" ca="1" si="283"/>
        <v>0</v>
      </c>
      <c r="V59" s="144">
        <f t="shared" ca="1" si="283"/>
        <v>0</v>
      </c>
      <c r="W59" s="174">
        <f t="shared" ca="1" si="283"/>
        <v>0</v>
      </c>
      <c r="X59" s="163"/>
      <c r="AC59" s="144">
        <f t="shared" ref="AC59" ca="1" si="284">IF($B59,ROUND(AC58*$N57,2),ROUND(SUMIF(OFFSET($B59,1,0,$D59),TRUE,OFFSET(AC59,1,0,$D59))/SUMIF(OFFSET($B59,1,0,$D59),TRUE,OFFSET($K59,1,0,$D59))*$N57,2))</f>
        <v>0</v>
      </c>
    </row>
    <row r="60" spans="1:29" customFormat="1" ht="14.25" customHeight="1" x14ac:dyDescent="0.25">
      <c r="A60" s="1"/>
      <c r="B60" s="1"/>
      <c r="C60" s="1"/>
      <c r="D60" s="1"/>
      <c r="E60" s="1"/>
      <c r="F60" s="1"/>
      <c r="G60" s="1"/>
      <c r="H60" s="1"/>
      <c r="I60" s="1"/>
      <c r="J60" s="1"/>
      <c r="K60" s="1"/>
      <c r="L60" s="341" t="str">
        <f ca="1">INDEX(PO!K$12:K$121,MATCH($A62,PO!$V$12:$V$121,0))</f>
        <v>5.1.</v>
      </c>
      <c r="M60" s="335" t="str">
        <f ca="1">INDEX(PO!N$12:N$121,MATCH($A62,PO!$V$12:$V$121,0))</f>
        <v>MOVIMENTAÇÃO DE TERRA E EXECUÇÃO DA BASE</v>
      </c>
      <c r="N60" s="333">
        <f t="shared" ref="N60" ca="1" si="285">IF(ROUND(K62,2)=0,K62,ROUND(K62,2))</f>
        <v>9.9999999999999998E-13</v>
      </c>
      <c r="O60" s="187" t="s">
        <v>143</v>
      </c>
      <c r="P60" s="192">
        <v>0.5</v>
      </c>
      <c r="Q60" s="193">
        <v>0.25</v>
      </c>
      <c r="R60" s="193">
        <v>0.25</v>
      </c>
      <c r="S60" s="193">
        <f t="shared" ref="S60" ca="1" si="286">IF($B62,0,S61-IF(ISNUMBER(R61),R61,0))</f>
        <v>0</v>
      </c>
      <c r="T60" s="193">
        <f t="shared" ref="T60" ca="1" si="287">IF($B62,0,T61-IF(ISNUMBER(S61),S61,0))</f>
        <v>0</v>
      </c>
      <c r="U60" s="193">
        <f t="shared" ref="U60" ca="1" si="288">IF($B62,0,U61-IF(ISNUMBER(T61),T61,0))</f>
        <v>0</v>
      </c>
      <c r="V60" s="193">
        <f t="shared" ref="V60" ca="1" si="289">IF($B62,0,V61-IF(ISNUMBER(U61),U61,0))</f>
        <v>0</v>
      </c>
      <c r="W60" s="194">
        <f t="shared" ref="W60" ca="1" si="290">IF($B62,0,W61-IF(ISNUMBER(V61),V61,0))</f>
        <v>0</v>
      </c>
      <c r="X60" s="163"/>
      <c r="AC60" s="188">
        <f t="shared" ref="AC60" ca="1" si="291">IF($B62,0,AC61-IF(ISNUMBER(AB61),AB61,0))</f>
        <v>0</v>
      </c>
    </row>
    <row r="61" spans="1:29" customFormat="1" ht="13.8" x14ac:dyDescent="0.25">
      <c r="A61" s="11"/>
      <c r="B61" s="11"/>
      <c r="C61" s="11"/>
      <c r="D61" s="11"/>
      <c r="E61" s="11"/>
      <c r="F61" s="11"/>
      <c r="G61" s="11"/>
      <c r="H61" s="11"/>
      <c r="I61" s="11"/>
      <c r="J61" s="11"/>
      <c r="K61" s="11"/>
      <c r="L61" s="342"/>
      <c r="M61" s="336"/>
      <c r="N61" s="334"/>
      <c r="O61" s="145" t="s">
        <v>145</v>
      </c>
      <c r="P61" s="165">
        <f t="shared" ref="P61" ca="1" si="292">MIN(IF($B62,P60+IF(ISNUMBER(O61),O61,0),P62/$N60),1)</f>
        <v>0.5</v>
      </c>
      <c r="Q61" s="143">
        <f t="shared" ref="Q61" ca="1" si="293">MIN(IF($B62,Q60+IF(ISNUMBER(P61),P61,0),Q62/$N60),1)</f>
        <v>0.75</v>
      </c>
      <c r="R61" s="143">
        <f t="shared" ref="R61" ca="1" si="294">MIN(IF($B62,R60+IF(ISNUMBER(Q61),Q61,0),R62/$N60),1)</f>
        <v>1</v>
      </c>
      <c r="S61" s="143">
        <f t="shared" ref="S61" ca="1" si="295">MIN(IF($B62,S60+IF(ISNUMBER(R61),R61,0),S62/$N60),1)</f>
        <v>1</v>
      </c>
      <c r="T61" s="143">
        <f t="shared" ref="T61" ca="1" si="296">MIN(IF($B62,T60+IF(ISNUMBER(S61),S61,0),T62/$N60),1)</f>
        <v>1</v>
      </c>
      <c r="U61" s="143">
        <f t="shared" ref="U61" ca="1" si="297">MIN(IF($B62,U60+IF(ISNUMBER(T61),T61,0),U62/$N60),1)</f>
        <v>1</v>
      </c>
      <c r="V61" s="143">
        <f t="shared" ref="V61" ca="1" si="298">MIN(IF($B62,V60+IF(ISNUMBER(U61),U61,0),V62/$N60),1)</f>
        <v>1</v>
      </c>
      <c r="W61" s="143">
        <f t="shared" ref="W61" ca="1" si="299">MIN(IF($B62,W60+IF(ISNUMBER(V61),V61,0),W62/$N60),1)</f>
        <v>1</v>
      </c>
      <c r="X61" s="163"/>
      <c r="AC61" s="143">
        <f t="shared" ref="AC61" ca="1" si="300">MIN(IF($B62,AC60+IF(ISNUMBER(AB61),AB61,0),AC62/$N60),1)</f>
        <v>0</v>
      </c>
    </row>
    <row r="62" spans="1:29" customFormat="1" ht="13.8" x14ac:dyDescent="0.25">
      <c r="A62" s="11">
        <f ca="1">OFFSET(A62,-CFF.NumLinha,0)+1</f>
        <v>15</v>
      </c>
      <c r="B62" s="11" t="b">
        <f ca="1">$C62&gt;=OFFSET($C62,CFF.NumLinha,0)</f>
        <v>1</v>
      </c>
      <c r="C62" s="11">
        <f ca="1">INDEX(PO!A$12:A$121,MATCH($A62,PO!$V$12:$V$121,0))</f>
        <v>2</v>
      </c>
      <c r="D62" s="11">
        <f t="shared" ref="D62:D80" ca="1" si="301">IF(ISERROR(J62),I62,SMALL(I62:J62,1))-1</f>
        <v>2</v>
      </c>
      <c r="E62" s="11">
        <f ca="1">IF($C62=1,OFFSET(E62,-CFF.NumLinha,0)+1,OFFSET(E62,-CFF.NumLinha,0))</f>
        <v>5</v>
      </c>
      <c r="F62" s="11">
        <f ca="1">IF($C62=1,0,IF($C62=2,OFFSET(F62,-CFF.NumLinha,0)+1,OFFSET(F62,-CFF.NumLinha,0)))</f>
        <v>1</v>
      </c>
      <c r="G62" s="11">
        <f ca="1">IF(AND($C62&lt;=2,$C62&lt;&gt;0),0,IF($C62=3,OFFSET(G62,-CFF.NumLinha,0)+1,OFFSET(G62,-CFF.NumLinha,0)))</f>
        <v>0</v>
      </c>
      <c r="H62" s="11">
        <f ca="1">IF(AND($C62&lt;=3,$C62&lt;&gt;0),0,IF($C62=4,OFFSET(H62,-CFF.NumLinha,0)+1,OFFSET(H62,-CFF.NumLinha,0)))</f>
        <v>0</v>
      </c>
      <c r="I62" s="11">
        <f t="shared" ref="I62:I80" ca="1" si="302">MATCH(0,OFFSET($D62,1,$C62,ROW($A$81)-ROW($A62)),0)</f>
        <v>9</v>
      </c>
      <c r="J62" s="11">
        <f t="shared" ref="J62" ca="1" si="303">MATCH(OFFSET($D62,0,$C62)+1,OFFSET($D62,1,$C62,ROW($A$81)-ROW($A62)),0)</f>
        <v>3</v>
      </c>
      <c r="K62" s="156">
        <f ca="1">ROUND(INDEX(PO!T$12:T$121,MATCH($A62,PO!$V$12:$V$121,0)),2)+10^-12</f>
        <v>9.9999999999999998E-13</v>
      </c>
      <c r="L62" s="342"/>
      <c r="M62" s="336"/>
      <c r="N62" s="334"/>
      <c r="O62" s="171" t="s">
        <v>20</v>
      </c>
      <c r="P62" s="166">
        <f t="shared" ref="P62:W62" ca="1" si="304">IF($B62,ROUND(P61*$N60,2),ROUND(SUMIF(OFFSET($B62,1,0,$D62),TRUE,OFFSET(P62,1,0,$D62))/SUMIF(OFFSET($B62,1,0,$D62),TRUE,OFFSET($K62,1,0,$D62))*$N60,2))</f>
        <v>0</v>
      </c>
      <c r="Q62" s="144">
        <f t="shared" ca="1" si="304"/>
        <v>0</v>
      </c>
      <c r="R62" s="144">
        <f t="shared" ca="1" si="304"/>
        <v>0</v>
      </c>
      <c r="S62" s="144">
        <f t="shared" ca="1" si="304"/>
        <v>0</v>
      </c>
      <c r="T62" s="144">
        <f t="shared" ca="1" si="304"/>
        <v>0</v>
      </c>
      <c r="U62" s="144">
        <f t="shared" ca="1" si="304"/>
        <v>0</v>
      </c>
      <c r="V62" s="144">
        <f t="shared" ca="1" si="304"/>
        <v>0</v>
      </c>
      <c r="W62" s="174">
        <f t="shared" ca="1" si="304"/>
        <v>0</v>
      </c>
      <c r="X62" s="163"/>
      <c r="AC62" s="144">
        <f t="shared" ref="AC62" ca="1" si="305">IF($B62,ROUND(AC61*$N60,2),ROUND(SUMIF(OFFSET($B62,1,0,$D62),TRUE,OFFSET(AC62,1,0,$D62))/SUMIF(OFFSET($B62,1,0,$D62),TRUE,OFFSET($K62,1,0,$D62))*$N60,2))</f>
        <v>0</v>
      </c>
    </row>
    <row r="63" spans="1:29" customFormat="1" ht="14.25" customHeight="1" x14ac:dyDescent="0.25">
      <c r="A63" s="1"/>
      <c r="B63" s="1"/>
      <c r="C63" s="1"/>
      <c r="D63" s="1"/>
      <c r="E63" s="1"/>
      <c r="F63" s="1"/>
      <c r="G63" s="1"/>
      <c r="H63" s="1"/>
      <c r="I63" s="1"/>
      <c r="J63" s="1"/>
      <c r="K63" s="1"/>
      <c r="L63" s="341" t="str">
        <f ca="1">INDEX(PO!K$12:K$121,MATCH($A65,PO!$V$12:$V$121,0))</f>
        <v>5.2.</v>
      </c>
      <c r="M63" s="335" t="str">
        <f ca="1">INDEX(PO!N$12:N$121,MATCH($A65,PO!$V$12:$V$121,0))</f>
        <v>PAVIMENTAÇÃO EM CBUQ</v>
      </c>
      <c r="N63" s="333">
        <f t="shared" ref="N63" ca="1" si="306">IF(ROUND(K65,2)=0,K65,ROUND(K65,2))</f>
        <v>9.9999999999999998E-13</v>
      </c>
      <c r="O63" s="187" t="s">
        <v>143</v>
      </c>
      <c r="P63" s="192">
        <f t="shared" ref="P63" ca="1" si="307">IF($B65,0,P64-IF(ISNUMBER(O64),O64,0))</f>
        <v>0</v>
      </c>
      <c r="Q63" s="193">
        <f t="shared" ref="Q63" ca="1" si="308">IF($B65,0,Q64-IF(ISNUMBER(P64),P64,0))</f>
        <v>0</v>
      </c>
      <c r="R63" s="193">
        <v>0.5</v>
      </c>
      <c r="S63" s="193">
        <v>0.5</v>
      </c>
      <c r="T63" s="193">
        <f t="shared" ref="T63" ca="1" si="309">IF($B65,0,T64-IF(ISNUMBER(S64),S64,0))</f>
        <v>0</v>
      </c>
      <c r="U63" s="193">
        <f t="shared" ref="U63" ca="1" si="310">IF($B65,0,U64-IF(ISNUMBER(T64),T64,0))</f>
        <v>0</v>
      </c>
      <c r="V63" s="193">
        <f t="shared" ref="V63" ca="1" si="311">IF($B65,0,V64-IF(ISNUMBER(U64),U64,0))</f>
        <v>0</v>
      </c>
      <c r="W63" s="194">
        <f t="shared" ref="W63" ca="1" si="312">IF($B65,0,W64-IF(ISNUMBER(V64),V64,0))</f>
        <v>0</v>
      </c>
      <c r="X63" s="163"/>
      <c r="AC63" s="188">
        <f t="shared" ref="AC63" ca="1" si="313">IF($B65,0,AC64-IF(ISNUMBER(AB64),AB64,0))</f>
        <v>0</v>
      </c>
    </row>
    <row r="64" spans="1:29" customFormat="1" ht="13.8" x14ac:dyDescent="0.25">
      <c r="A64" s="11"/>
      <c r="B64" s="11"/>
      <c r="C64" s="11"/>
      <c r="D64" s="11"/>
      <c r="E64" s="11"/>
      <c r="F64" s="11"/>
      <c r="G64" s="11"/>
      <c r="H64" s="11"/>
      <c r="I64" s="11"/>
      <c r="J64" s="11"/>
      <c r="K64" s="11"/>
      <c r="L64" s="342"/>
      <c r="M64" s="336"/>
      <c r="N64" s="334"/>
      <c r="O64" s="145" t="s">
        <v>145</v>
      </c>
      <c r="P64" s="165">
        <f t="shared" ref="P64" ca="1" si="314">MIN(IF($B65,P63+IF(ISNUMBER(O64),O64,0),P65/$N63),1)</f>
        <v>0</v>
      </c>
      <c r="Q64" s="143">
        <f t="shared" ref="Q64" ca="1" si="315">MIN(IF($B65,Q63+IF(ISNUMBER(P64),P64,0),Q65/$N63),1)</f>
        <v>0</v>
      </c>
      <c r="R64" s="143">
        <f t="shared" ref="R64" ca="1" si="316">MIN(IF($B65,R63+IF(ISNUMBER(Q64),Q64,0),R65/$N63),1)</f>
        <v>0.5</v>
      </c>
      <c r="S64" s="143">
        <f t="shared" ref="S64" ca="1" si="317">MIN(IF($B65,S63+IF(ISNUMBER(R64),R64,0),S65/$N63),1)</f>
        <v>1</v>
      </c>
      <c r="T64" s="143">
        <f t="shared" ref="T64" ca="1" si="318">MIN(IF($B65,T63+IF(ISNUMBER(S64),S64,0),T65/$N63),1)</f>
        <v>1</v>
      </c>
      <c r="U64" s="143">
        <f t="shared" ref="U64" ca="1" si="319">MIN(IF($B65,U63+IF(ISNUMBER(T64),T64,0),U65/$N63),1)</f>
        <v>1</v>
      </c>
      <c r="V64" s="143">
        <f t="shared" ref="V64" ca="1" si="320">MIN(IF($B65,V63+IF(ISNUMBER(U64),U64,0),V65/$N63),1)</f>
        <v>1</v>
      </c>
      <c r="W64" s="143">
        <f t="shared" ref="W64" ca="1" si="321">MIN(IF($B65,W63+IF(ISNUMBER(V64),V64,0),W65/$N63),1)</f>
        <v>1</v>
      </c>
      <c r="X64" s="163"/>
      <c r="AC64" s="143">
        <f t="shared" ref="AC64" ca="1" si="322">MIN(IF($B65,AC63+IF(ISNUMBER(AB64),AB64,0),AC65/$N63),1)</f>
        <v>0</v>
      </c>
    </row>
    <row r="65" spans="1:29" customFormat="1" ht="13.8" x14ac:dyDescent="0.25">
      <c r="A65" s="11">
        <f ca="1">OFFSET(A65,-CFF.NumLinha,0)+1</f>
        <v>16</v>
      </c>
      <c r="B65" s="11" t="b">
        <f ca="1">$C65&gt;=OFFSET($C65,CFF.NumLinha,0)</f>
        <v>1</v>
      </c>
      <c r="C65" s="11">
        <f ca="1">INDEX(PO!A$12:A$121,MATCH($A65,PO!$V$12:$V$121,0))</f>
        <v>2</v>
      </c>
      <c r="D65" s="11">
        <f t="shared" ref="D65:D80" ca="1" si="323">IF(ISERROR(J65),I65,SMALL(I65:J65,1))-1</f>
        <v>2</v>
      </c>
      <c r="E65" s="11">
        <f ca="1">IF($C65=1,OFFSET(E65,-CFF.NumLinha,0)+1,OFFSET(E65,-CFF.NumLinha,0))</f>
        <v>5</v>
      </c>
      <c r="F65" s="11">
        <f ca="1">IF($C65=1,0,IF($C65=2,OFFSET(F65,-CFF.NumLinha,0)+1,OFFSET(F65,-CFF.NumLinha,0)))</f>
        <v>2</v>
      </c>
      <c r="G65" s="11">
        <f ca="1">IF(AND($C65&lt;=2,$C65&lt;&gt;0),0,IF($C65=3,OFFSET(G65,-CFF.NumLinha,0)+1,OFFSET(G65,-CFF.NumLinha,0)))</f>
        <v>0</v>
      </c>
      <c r="H65" s="11">
        <f ca="1">IF(AND($C65&lt;=3,$C65&lt;&gt;0),0,IF($C65=4,OFFSET(H65,-CFF.NumLinha,0)+1,OFFSET(H65,-CFF.NumLinha,0)))</f>
        <v>0</v>
      </c>
      <c r="I65" s="11">
        <f t="shared" ref="I65:I80" ca="1" si="324">MATCH(0,OFFSET($D65,1,$C65,ROW($A$81)-ROW($A65)),0)</f>
        <v>6</v>
      </c>
      <c r="J65" s="11">
        <f t="shared" ref="J65" ca="1" si="325">MATCH(OFFSET($D65,0,$C65)+1,OFFSET($D65,1,$C65,ROW($A$81)-ROW($A65)),0)</f>
        <v>3</v>
      </c>
      <c r="K65" s="156">
        <f ca="1">ROUND(INDEX(PO!T$12:T$121,MATCH($A65,PO!$V$12:$V$121,0)),2)+10^-12</f>
        <v>9.9999999999999998E-13</v>
      </c>
      <c r="L65" s="342"/>
      <c r="M65" s="336"/>
      <c r="N65" s="334"/>
      <c r="O65" s="171" t="s">
        <v>20</v>
      </c>
      <c r="P65" s="166">
        <f t="shared" ref="P65:W65" ca="1" si="326">IF($B65,ROUND(P64*$N63,2),ROUND(SUMIF(OFFSET($B65,1,0,$D65),TRUE,OFFSET(P65,1,0,$D65))/SUMIF(OFFSET($B65,1,0,$D65),TRUE,OFFSET($K65,1,0,$D65))*$N63,2))</f>
        <v>0</v>
      </c>
      <c r="Q65" s="144">
        <f t="shared" ca="1" si="326"/>
        <v>0</v>
      </c>
      <c r="R65" s="144">
        <f t="shared" ca="1" si="326"/>
        <v>0</v>
      </c>
      <c r="S65" s="144">
        <f t="shared" ca="1" si="326"/>
        <v>0</v>
      </c>
      <c r="T65" s="144">
        <f t="shared" ca="1" si="326"/>
        <v>0</v>
      </c>
      <c r="U65" s="144">
        <f t="shared" ca="1" si="326"/>
        <v>0</v>
      </c>
      <c r="V65" s="144">
        <f t="shared" ca="1" si="326"/>
        <v>0</v>
      </c>
      <c r="W65" s="174">
        <f t="shared" ca="1" si="326"/>
        <v>0</v>
      </c>
      <c r="X65" s="163"/>
      <c r="AC65" s="144">
        <f t="shared" ref="AC65" ca="1" si="327">IF($B65,ROUND(AC64*$N63,2),ROUND(SUMIF(OFFSET($B65,1,0,$D65),TRUE,OFFSET(AC65,1,0,$D65))/SUMIF(OFFSET($B65,1,0,$D65),TRUE,OFFSET($K65,1,0,$D65))*$N63,2))</f>
        <v>0</v>
      </c>
    </row>
    <row r="66" spans="1:29" customFormat="1" ht="14.25" customHeight="1" x14ac:dyDescent="0.25">
      <c r="A66" s="1"/>
      <c r="B66" s="1"/>
      <c r="C66" s="1"/>
      <c r="D66" s="1"/>
      <c r="E66" s="1"/>
      <c r="F66" s="1"/>
      <c r="G66" s="1"/>
      <c r="H66" s="1"/>
      <c r="I66" s="1"/>
      <c r="J66" s="1"/>
      <c r="K66" s="1"/>
      <c r="L66" s="341" t="str">
        <f ca="1">INDEX(PO!K$12:K$121,MATCH($A68,PO!$V$12:$V$121,0))</f>
        <v>5.3.</v>
      </c>
      <c r="M66" s="335" t="str">
        <f ca="1">INDEX(PO!N$12:N$121,MATCH($A68,PO!$V$12:$V$121,0))</f>
        <v>SINALIZAÇÃO</v>
      </c>
      <c r="N66" s="333">
        <f t="shared" ref="N66" ca="1" si="328">IF(ROUND(K68,2)=0,K68,ROUND(K68,2))</f>
        <v>9.9999999999999998E-13</v>
      </c>
      <c r="O66" s="187" t="s">
        <v>143</v>
      </c>
      <c r="P66" s="192">
        <f t="shared" ref="P66" ca="1" si="329">IF($B68,0,P67-IF(ISNUMBER(O67),O67,0))</f>
        <v>0</v>
      </c>
      <c r="Q66" s="193">
        <f t="shared" ref="Q66" ca="1" si="330">IF($B68,0,Q67-IF(ISNUMBER(P67),P67,0))</f>
        <v>0</v>
      </c>
      <c r="R66" s="193">
        <f t="shared" ref="R66" ca="1" si="331">IF($B68,0,R67-IF(ISNUMBER(Q67),Q67,0))</f>
        <v>0</v>
      </c>
      <c r="S66" s="193">
        <v>1</v>
      </c>
      <c r="T66" s="193">
        <f t="shared" ref="T66" ca="1" si="332">IF($B68,0,T67-IF(ISNUMBER(S67),S67,0))</f>
        <v>0</v>
      </c>
      <c r="U66" s="193">
        <f t="shared" ref="U66" ca="1" si="333">IF($B68,0,U67-IF(ISNUMBER(T67),T67,0))</f>
        <v>0</v>
      </c>
      <c r="V66" s="193">
        <f t="shared" ref="V66" ca="1" si="334">IF($B68,0,V67-IF(ISNUMBER(U67),U67,0))</f>
        <v>0</v>
      </c>
      <c r="W66" s="194">
        <f t="shared" ref="W66" ca="1" si="335">IF($B68,0,W67-IF(ISNUMBER(V67),V67,0))</f>
        <v>0</v>
      </c>
      <c r="X66" s="163"/>
      <c r="AC66" s="188">
        <f t="shared" ref="AC66" ca="1" si="336">IF($B68,0,AC67-IF(ISNUMBER(AB67),AB67,0))</f>
        <v>0</v>
      </c>
    </row>
    <row r="67" spans="1:29" customFormat="1" ht="13.8" x14ac:dyDescent="0.25">
      <c r="A67" s="11"/>
      <c r="B67" s="11"/>
      <c r="C67" s="11"/>
      <c r="D67" s="11"/>
      <c r="E67" s="11"/>
      <c r="F67" s="11"/>
      <c r="G67" s="11"/>
      <c r="H67" s="11"/>
      <c r="I67" s="11"/>
      <c r="J67" s="11"/>
      <c r="K67" s="11"/>
      <c r="L67" s="342"/>
      <c r="M67" s="336"/>
      <c r="N67" s="334"/>
      <c r="O67" s="145" t="s">
        <v>145</v>
      </c>
      <c r="P67" s="165">
        <f t="shared" ref="P67" ca="1" si="337">MIN(IF($B68,P66+IF(ISNUMBER(O67),O67,0),P68/$N66),1)</f>
        <v>0</v>
      </c>
      <c r="Q67" s="143">
        <f t="shared" ref="Q67" ca="1" si="338">MIN(IF($B68,Q66+IF(ISNUMBER(P67),P67,0),Q68/$N66),1)</f>
        <v>0</v>
      </c>
      <c r="R67" s="143">
        <f t="shared" ref="R67" ca="1" si="339">MIN(IF($B68,R66+IF(ISNUMBER(Q67),Q67,0),R68/$N66),1)</f>
        <v>0</v>
      </c>
      <c r="S67" s="143">
        <f t="shared" ref="S67" ca="1" si="340">MIN(IF($B68,S66+IF(ISNUMBER(R67),R67,0),S68/$N66),1)</f>
        <v>1</v>
      </c>
      <c r="T67" s="143">
        <f t="shared" ref="T67" ca="1" si="341">MIN(IF($B68,T66+IF(ISNUMBER(S67),S67,0),T68/$N66),1)</f>
        <v>1</v>
      </c>
      <c r="U67" s="143">
        <f t="shared" ref="U67" ca="1" si="342">MIN(IF($B68,U66+IF(ISNUMBER(T67),T67,0),U68/$N66),1)</f>
        <v>1</v>
      </c>
      <c r="V67" s="143">
        <f t="shared" ref="V67" ca="1" si="343">MIN(IF($B68,V66+IF(ISNUMBER(U67),U67,0),V68/$N66),1)</f>
        <v>1</v>
      </c>
      <c r="W67" s="143">
        <f t="shared" ref="W67" ca="1" si="344">MIN(IF($B68,W66+IF(ISNUMBER(V67),V67,0),W68/$N66),1)</f>
        <v>1</v>
      </c>
      <c r="X67" s="163"/>
      <c r="AC67" s="143">
        <f t="shared" ref="AC67" ca="1" si="345">MIN(IF($B68,AC66+IF(ISNUMBER(AB67),AB67,0),AC68/$N66),1)</f>
        <v>0</v>
      </c>
    </row>
    <row r="68" spans="1:29" customFormat="1" ht="13.8" x14ac:dyDescent="0.25">
      <c r="A68" s="11">
        <f ca="1">OFFSET(A68,-CFF.NumLinha,0)+1</f>
        <v>17</v>
      </c>
      <c r="B68" s="11" t="b">
        <f ca="1">$C68&gt;=OFFSET($C68,CFF.NumLinha,0)</f>
        <v>1</v>
      </c>
      <c r="C68" s="11">
        <f ca="1">INDEX(PO!A$12:A$121,MATCH($A68,PO!$V$12:$V$121,0))</f>
        <v>2</v>
      </c>
      <c r="D68" s="11">
        <f t="shared" ref="D68:D80" ca="1" si="346">IF(ISERROR(J68),I68,SMALL(I68:J68,1))-1</f>
        <v>2</v>
      </c>
      <c r="E68" s="11">
        <f ca="1">IF($C68=1,OFFSET(E68,-CFF.NumLinha,0)+1,OFFSET(E68,-CFF.NumLinha,0))</f>
        <v>5</v>
      </c>
      <c r="F68" s="11">
        <f ca="1">IF($C68=1,0,IF($C68=2,OFFSET(F68,-CFF.NumLinha,0)+1,OFFSET(F68,-CFF.NumLinha,0)))</f>
        <v>3</v>
      </c>
      <c r="G68" s="11">
        <f ca="1">IF(AND($C68&lt;=2,$C68&lt;&gt;0),0,IF($C68=3,OFFSET(G68,-CFF.NumLinha,0)+1,OFFSET(G68,-CFF.NumLinha,0)))</f>
        <v>0</v>
      </c>
      <c r="H68" s="11">
        <f ca="1">IF(AND($C68&lt;=3,$C68&lt;&gt;0),0,IF($C68=4,OFFSET(H68,-CFF.NumLinha,0)+1,OFFSET(H68,-CFF.NumLinha,0)))</f>
        <v>0</v>
      </c>
      <c r="I68" s="11">
        <f t="shared" ref="I68:I80" ca="1" si="347">MATCH(0,OFFSET($D68,1,$C68,ROW($A$81)-ROW($A68)),0)</f>
        <v>3</v>
      </c>
      <c r="J68" s="11" t="e">
        <f t="shared" ref="J68" ca="1" si="348">MATCH(OFFSET($D68,0,$C68)+1,OFFSET($D68,1,$C68,ROW($A$81)-ROW($A68)),0)</f>
        <v>#N/A</v>
      </c>
      <c r="K68" s="156">
        <f ca="1">ROUND(INDEX(PO!T$12:T$121,MATCH($A68,PO!$V$12:$V$121,0)),2)+10^-12</f>
        <v>9.9999999999999998E-13</v>
      </c>
      <c r="L68" s="342"/>
      <c r="M68" s="336"/>
      <c r="N68" s="334"/>
      <c r="O68" s="171" t="s">
        <v>20</v>
      </c>
      <c r="P68" s="166">
        <f t="shared" ref="P68:W68" ca="1" si="349">IF($B68,ROUND(P67*$N66,2),ROUND(SUMIF(OFFSET($B68,1,0,$D68),TRUE,OFFSET(P68,1,0,$D68))/SUMIF(OFFSET($B68,1,0,$D68),TRUE,OFFSET($K68,1,0,$D68))*$N66,2))</f>
        <v>0</v>
      </c>
      <c r="Q68" s="144">
        <f t="shared" ca="1" si="349"/>
        <v>0</v>
      </c>
      <c r="R68" s="144">
        <f t="shared" ca="1" si="349"/>
        <v>0</v>
      </c>
      <c r="S68" s="144">
        <f t="shared" ca="1" si="349"/>
        <v>0</v>
      </c>
      <c r="T68" s="144">
        <f t="shared" ca="1" si="349"/>
        <v>0</v>
      </c>
      <c r="U68" s="144">
        <f t="shared" ca="1" si="349"/>
        <v>0</v>
      </c>
      <c r="V68" s="144">
        <f t="shared" ca="1" si="349"/>
        <v>0</v>
      </c>
      <c r="W68" s="174">
        <f t="shared" ca="1" si="349"/>
        <v>0</v>
      </c>
      <c r="X68" s="163"/>
      <c r="AC68" s="144">
        <f t="shared" ref="AC68" ca="1" si="350">IF($B68,ROUND(AC67*$N66,2),ROUND(SUMIF(OFFSET($B68,1,0,$D68),TRUE,OFFSET(AC68,1,0,$D68))/SUMIF(OFFSET($B68,1,0,$D68),TRUE,OFFSET($K68,1,0,$D68))*$N66,2))</f>
        <v>0</v>
      </c>
    </row>
    <row r="69" spans="1:29" customFormat="1" ht="14.25" customHeight="1" x14ac:dyDescent="0.25">
      <c r="A69" s="1"/>
      <c r="B69" s="1"/>
      <c r="C69" s="1"/>
      <c r="D69" s="1"/>
      <c r="E69" s="1"/>
      <c r="F69" s="1"/>
      <c r="G69" s="1"/>
      <c r="H69" s="1"/>
      <c r="I69" s="1"/>
      <c r="J69" s="1"/>
      <c r="K69" s="1"/>
      <c r="L69" s="341" t="str">
        <f ca="1">INDEX(PO!K$12:K$121,MATCH($A71,PO!$V$12:$V$121,0))</f>
        <v>6.</v>
      </c>
      <c r="M69" s="335" t="str">
        <f ca="1">INDEX(PO!N$12:N$121,MATCH($A71,PO!$V$12:$V$121,0))</f>
        <v>TRECHO 5</v>
      </c>
      <c r="N69" s="333">
        <f t="shared" ref="N69" ca="1" si="351">IF(ROUND(K71,2)=0,K71,ROUND(K71,2))</f>
        <v>9.9999999999999998E-13</v>
      </c>
      <c r="O69" s="187" t="s">
        <v>143</v>
      </c>
      <c r="P69" s="192">
        <f t="shared" ref="P69" ca="1" si="352">IF($B71,0,P70-IF(ISNUMBER(O70),O70,0))</f>
        <v>0</v>
      </c>
      <c r="Q69" s="193">
        <f t="shared" ref="Q69" ca="1" si="353">IF($B71,0,Q70-IF(ISNUMBER(P70),P70,0))</f>
        <v>0</v>
      </c>
      <c r="R69" s="193">
        <f t="shared" ref="R69" ca="1" si="354">IF($B71,0,R70-IF(ISNUMBER(Q70),Q70,0))</f>
        <v>0</v>
      </c>
      <c r="S69" s="193">
        <f t="shared" ref="S69" ca="1" si="355">IF($B71,0,S70-IF(ISNUMBER(R70),R70,0))</f>
        <v>0</v>
      </c>
      <c r="T69" s="193">
        <f t="shared" ref="T69" ca="1" si="356">IF($B71,0,T70-IF(ISNUMBER(S70),S70,0))</f>
        <v>0</v>
      </c>
      <c r="U69" s="193">
        <f t="shared" ref="U69" ca="1" si="357">IF($B71,0,U70-IF(ISNUMBER(T70),T70,0))</f>
        <v>0</v>
      </c>
      <c r="V69" s="193">
        <f t="shared" ref="V69" ca="1" si="358">IF($B71,0,V70-IF(ISNUMBER(U70),U70,0))</f>
        <v>0</v>
      </c>
      <c r="W69" s="194">
        <f t="shared" ref="W69" ca="1" si="359">IF($B71,0,W70-IF(ISNUMBER(V70),V70,0))</f>
        <v>0</v>
      </c>
      <c r="X69" s="163"/>
      <c r="AC69" s="188">
        <f t="shared" ref="AC69" ca="1" si="360">IF($B71,0,AC70-IF(ISNUMBER(AB70),AB70,0))</f>
        <v>0</v>
      </c>
    </row>
    <row r="70" spans="1:29" customFormat="1" ht="13.8" x14ac:dyDescent="0.25">
      <c r="A70" s="11"/>
      <c r="B70" s="11"/>
      <c r="C70" s="11"/>
      <c r="D70" s="11"/>
      <c r="E70" s="11"/>
      <c r="F70" s="11"/>
      <c r="G70" s="11"/>
      <c r="H70" s="11"/>
      <c r="I70" s="11"/>
      <c r="J70" s="11"/>
      <c r="K70" s="11"/>
      <c r="L70" s="342"/>
      <c r="M70" s="336"/>
      <c r="N70" s="334"/>
      <c r="O70" s="145" t="s">
        <v>145</v>
      </c>
      <c r="P70" s="165">
        <f t="shared" ref="P70" ca="1" si="361">MIN(IF($B71,P69+IF(ISNUMBER(O70),O70,0),P71/$N69),1)</f>
        <v>0</v>
      </c>
      <c r="Q70" s="143">
        <f t="shared" ref="Q70" ca="1" si="362">MIN(IF($B71,Q69+IF(ISNUMBER(P70),P70,0),Q71/$N69),1)</f>
        <v>0</v>
      </c>
      <c r="R70" s="143">
        <f t="shared" ref="R70" ca="1" si="363">MIN(IF($B71,R69+IF(ISNUMBER(Q70),Q70,0),R71/$N69),1)</f>
        <v>0</v>
      </c>
      <c r="S70" s="143">
        <f t="shared" ref="S70" ca="1" si="364">MIN(IF($B71,S69+IF(ISNUMBER(R70),R70,0),S71/$N69),1)</f>
        <v>0</v>
      </c>
      <c r="T70" s="143">
        <f t="shared" ref="T70" ca="1" si="365">MIN(IF($B71,T69+IF(ISNUMBER(S70),S70,0),T71/$N69),1)</f>
        <v>0</v>
      </c>
      <c r="U70" s="143">
        <f t="shared" ref="U70" ca="1" si="366">MIN(IF($B71,U69+IF(ISNUMBER(T70),T70,0),U71/$N69),1)</f>
        <v>0</v>
      </c>
      <c r="V70" s="143">
        <f t="shared" ref="V70" ca="1" si="367">MIN(IF($B71,V69+IF(ISNUMBER(U70),U70,0),V71/$N69),1)</f>
        <v>0</v>
      </c>
      <c r="W70" s="143">
        <f t="shared" ref="W70" ca="1" si="368">MIN(IF($B71,W69+IF(ISNUMBER(V70),V70,0),W71/$N69),1)</f>
        <v>0</v>
      </c>
      <c r="X70" s="163"/>
      <c r="AC70" s="143">
        <f t="shared" ref="AC70" ca="1" si="369">MIN(IF($B71,AC69+IF(ISNUMBER(AB70),AB70,0),AC71/$N69),1)</f>
        <v>0</v>
      </c>
    </row>
    <row r="71" spans="1:29" customFormat="1" ht="13.8" x14ac:dyDescent="0.25">
      <c r="A71" s="11">
        <f ca="1">OFFSET(A71,-CFF.NumLinha,0)+1</f>
        <v>18</v>
      </c>
      <c r="B71" s="11" t="b">
        <f ca="1">$C71&gt;=OFFSET($C71,CFF.NumLinha,0)</f>
        <v>0</v>
      </c>
      <c r="C71" s="11">
        <f ca="1">INDEX(PO!A$12:A$121,MATCH($A71,PO!$V$12:$V$121,0))</f>
        <v>1</v>
      </c>
      <c r="D71" s="11">
        <f t="shared" ref="D71:D80" ca="1" si="370">IF(ISERROR(J71),I71,SMALL(I71:J71,1))-1</f>
        <v>9</v>
      </c>
      <c r="E71" s="11">
        <f ca="1">IF($C71=1,OFFSET(E71,-CFF.NumLinha,0)+1,OFFSET(E71,-CFF.NumLinha,0))</f>
        <v>6</v>
      </c>
      <c r="F71" s="11">
        <f ca="1">IF($C71=1,0,IF($C71=2,OFFSET(F71,-CFF.NumLinha,0)+1,OFFSET(F71,-CFF.NumLinha,0)))</f>
        <v>0</v>
      </c>
      <c r="G71" s="11">
        <f ca="1">IF(AND($C71&lt;=2,$C71&lt;&gt;0),0,IF($C71=3,OFFSET(G71,-CFF.NumLinha,0)+1,OFFSET(G71,-CFF.NumLinha,0)))</f>
        <v>0</v>
      </c>
      <c r="H71" s="11">
        <f ca="1">IF(AND($C71&lt;=3,$C71&lt;&gt;0),0,IF($C71=4,OFFSET(H71,-CFF.NumLinha,0)+1,OFFSET(H71,-CFF.NumLinha,0)))</f>
        <v>0</v>
      </c>
      <c r="I71" s="11">
        <f t="shared" ref="I71:I80" ca="1" si="371">MATCH(0,OFFSET($D71,1,$C71,ROW($A$81)-ROW($A71)),0)</f>
        <v>10</v>
      </c>
      <c r="J71" s="11" t="e">
        <f t="shared" ref="J71" ca="1" si="372">MATCH(OFFSET($D71,0,$C71)+1,OFFSET($D71,1,$C71,ROW($A$81)-ROW($A71)),0)</f>
        <v>#N/A</v>
      </c>
      <c r="K71" s="156">
        <f ca="1">ROUND(INDEX(PO!T$12:T$121,MATCH($A71,PO!$V$12:$V$121,0)),2)+10^-12</f>
        <v>9.9999999999999998E-13</v>
      </c>
      <c r="L71" s="342"/>
      <c r="M71" s="336"/>
      <c r="N71" s="334"/>
      <c r="O71" s="171" t="s">
        <v>20</v>
      </c>
      <c r="P71" s="166">
        <f t="shared" ref="P71:W71" ca="1" si="373">IF($B71,ROUND(P70*$N69,2),ROUND(SUMIF(OFFSET($B71,1,0,$D71),TRUE,OFFSET(P71,1,0,$D71))/SUMIF(OFFSET($B71,1,0,$D71),TRUE,OFFSET($K71,1,0,$D71))*$N69,2))</f>
        <v>0</v>
      </c>
      <c r="Q71" s="144">
        <f t="shared" ca="1" si="373"/>
        <v>0</v>
      </c>
      <c r="R71" s="144">
        <f t="shared" ca="1" si="373"/>
        <v>0</v>
      </c>
      <c r="S71" s="144">
        <f t="shared" ca="1" si="373"/>
        <v>0</v>
      </c>
      <c r="T71" s="144">
        <f t="shared" ca="1" si="373"/>
        <v>0</v>
      </c>
      <c r="U71" s="144">
        <f t="shared" ca="1" si="373"/>
        <v>0</v>
      </c>
      <c r="V71" s="144">
        <f t="shared" ca="1" si="373"/>
        <v>0</v>
      </c>
      <c r="W71" s="174">
        <f t="shared" ca="1" si="373"/>
        <v>0</v>
      </c>
      <c r="X71" s="163"/>
      <c r="AC71" s="144">
        <f t="shared" ref="AC71" ca="1" si="374">IF($B71,ROUND(AC70*$N69,2),ROUND(SUMIF(OFFSET($B71,1,0,$D71),TRUE,OFFSET(AC71,1,0,$D71))/SUMIF(OFFSET($B71,1,0,$D71),TRUE,OFFSET($K71,1,0,$D71))*$N69,2))</f>
        <v>0</v>
      </c>
    </row>
    <row r="72" spans="1:29" customFormat="1" ht="14.25" customHeight="1" x14ac:dyDescent="0.25">
      <c r="A72" s="1"/>
      <c r="B72" s="1"/>
      <c r="C72" s="1"/>
      <c r="D72" s="1"/>
      <c r="E72" s="1"/>
      <c r="F72" s="1"/>
      <c r="G72" s="1"/>
      <c r="H72" s="1"/>
      <c r="I72" s="1"/>
      <c r="J72" s="1"/>
      <c r="K72" s="1"/>
      <c r="L72" s="341" t="str">
        <f ca="1">INDEX(PO!K$12:K$121,MATCH($A74,PO!$V$12:$V$121,0))</f>
        <v>6.1.</v>
      </c>
      <c r="M72" s="335" t="str">
        <f ca="1">INDEX(PO!N$12:N$121,MATCH($A74,PO!$V$12:$V$121,0))</f>
        <v>MOVIMENTAÇÃO DE TERRA E EXECUÇÃO DA BASE</v>
      </c>
      <c r="N72" s="333">
        <f t="shared" ref="N72" ca="1" si="375">IF(ROUND(K74,2)=0,K74,ROUND(K74,2))</f>
        <v>9.9999999999999998E-13</v>
      </c>
      <c r="O72" s="187" t="s">
        <v>143</v>
      </c>
      <c r="P72" s="192">
        <v>0.5</v>
      </c>
      <c r="Q72" s="193">
        <v>0.25</v>
      </c>
      <c r="R72" s="193">
        <v>0.25</v>
      </c>
      <c r="S72" s="193">
        <f t="shared" ref="S72" ca="1" si="376">IF($B74,0,S73-IF(ISNUMBER(R73),R73,0))</f>
        <v>0</v>
      </c>
      <c r="T72" s="193">
        <f t="shared" ref="T72" ca="1" si="377">IF($B74,0,T73-IF(ISNUMBER(S73),S73,0))</f>
        <v>0</v>
      </c>
      <c r="U72" s="193">
        <f t="shared" ref="U72" ca="1" si="378">IF($B74,0,U73-IF(ISNUMBER(T73),T73,0))</f>
        <v>0</v>
      </c>
      <c r="V72" s="193">
        <f t="shared" ref="V72" ca="1" si="379">IF($B74,0,V73-IF(ISNUMBER(U73),U73,0))</f>
        <v>0</v>
      </c>
      <c r="W72" s="194">
        <f t="shared" ref="W72" ca="1" si="380">IF($B74,0,W73-IF(ISNUMBER(V73),V73,0))</f>
        <v>0</v>
      </c>
      <c r="X72" s="163"/>
      <c r="AC72" s="188">
        <f t="shared" ref="AC72" ca="1" si="381">IF($B74,0,AC73-IF(ISNUMBER(AB73),AB73,0))</f>
        <v>0</v>
      </c>
    </row>
    <row r="73" spans="1:29" customFormat="1" ht="13.8" x14ac:dyDescent="0.25">
      <c r="A73" s="11"/>
      <c r="B73" s="11"/>
      <c r="C73" s="11"/>
      <c r="D73" s="11"/>
      <c r="E73" s="11"/>
      <c r="F73" s="11"/>
      <c r="G73" s="11"/>
      <c r="H73" s="11"/>
      <c r="I73" s="11"/>
      <c r="J73" s="11"/>
      <c r="K73" s="11"/>
      <c r="L73" s="342"/>
      <c r="M73" s="336"/>
      <c r="N73" s="334"/>
      <c r="O73" s="145" t="s">
        <v>145</v>
      </c>
      <c r="P73" s="165">
        <f t="shared" ref="P73" ca="1" si="382">MIN(IF($B74,P72+IF(ISNUMBER(O73),O73,0),P74/$N72),1)</f>
        <v>0.5</v>
      </c>
      <c r="Q73" s="143">
        <f t="shared" ref="Q73" ca="1" si="383">MIN(IF($B74,Q72+IF(ISNUMBER(P73),P73,0),Q74/$N72),1)</f>
        <v>0.75</v>
      </c>
      <c r="R73" s="143">
        <f t="shared" ref="R73" ca="1" si="384">MIN(IF($B74,R72+IF(ISNUMBER(Q73),Q73,0),R74/$N72),1)</f>
        <v>1</v>
      </c>
      <c r="S73" s="143">
        <f t="shared" ref="S73" ca="1" si="385">MIN(IF($B74,S72+IF(ISNUMBER(R73),R73,0),S74/$N72),1)</f>
        <v>1</v>
      </c>
      <c r="T73" s="143">
        <f t="shared" ref="T73" ca="1" si="386">MIN(IF($B74,T72+IF(ISNUMBER(S73),S73,0),T74/$N72),1)</f>
        <v>1</v>
      </c>
      <c r="U73" s="143">
        <f t="shared" ref="U73" ca="1" si="387">MIN(IF($B74,U72+IF(ISNUMBER(T73),T73,0),U74/$N72),1)</f>
        <v>1</v>
      </c>
      <c r="V73" s="143">
        <f t="shared" ref="V73" ca="1" si="388">MIN(IF($B74,V72+IF(ISNUMBER(U73),U73,0),V74/$N72),1)</f>
        <v>1</v>
      </c>
      <c r="W73" s="143">
        <f t="shared" ref="W73" ca="1" si="389">MIN(IF($B74,W72+IF(ISNUMBER(V73),V73,0),W74/$N72),1)</f>
        <v>1</v>
      </c>
      <c r="X73" s="163"/>
      <c r="AC73" s="143">
        <f t="shared" ref="AC73" ca="1" si="390">MIN(IF($B74,AC72+IF(ISNUMBER(AB73),AB73,0),AC74/$N72),1)</f>
        <v>0</v>
      </c>
    </row>
    <row r="74" spans="1:29" customFormat="1" ht="13.8" x14ac:dyDescent="0.25">
      <c r="A74" s="11">
        <f ca="1">OFFSET(A74,-CFF.NumLinha,0)+1</f>
        <v>19</v>
      </c>
      <c r="B74" s="11" t="b">
        <f ca="1">$C74&gt;=OFFSET($C74,CFF.NumLinha,0)</f>
        <v>1</v>
      </c>
      <c r="C74" s="11">
        <f ca="1">INDEX(PO!A$12:A$121,MATCH($A74,PO!$V$12:$V$121,0))</f>
        <v>2</v>
      </c>
      <c r="D74" s="11">
        <f t="shared" ref="D74:D80" ca="1" si="391">IF(ISERROR(J74),I74,SMALL(I74:J74,1))-1</f>
        <v>2</v>
      </c>
      <c r="E74" s="11">
        <f ca="1">IF($C74=1,OFFSET(E74,-CFF.NumLinha,0)+1,OFFSET(E74,-CFF.NumLinha,0))</f>
        <v>6</v>
      </c>
      <c r="F74" s="11">
        <f ca="1">IF($C74=1,0,IF($C74=2,OFFSET(F74,-CFF.NumLinha,0)+1,OFFSET(F74,-CFF.NumLinha,0)))</f>
        <v>1</v>
      </c>
      <c r="G74" s="11">
        <f ca="1">IF(AND($C74&lt;=2,$C74&lt;&gt;0),0,IF($C74=3,OFFSET(G74,-CFF.NumLinha,0)+1,OFFSET(G74,-CFF.NumLinha,0)))</f>
        <v>0</v>
      </c>
      <c r="H74" s="11">
        <f ca="1">IF(AND($C74&lt;=3,$C74&lt;&gt;0),0,IF($C74=4,OFFSET(H74,-CFF.NumLinha,0)+1,OFFSET(H74,-CFF.NumLinha,0)))</f>
        <v>0</v>
      </c>
      <c r="I74" s="11">
        <f t="shared" ref="I74:I80" ca="1" si="392">MATCH(0,OFFSET($D74,1,$C74,ROW($A$81)-ROW($A74)),0)</f>
        <v>7</v>
      </c>
      <c r="J74" s="11">
        <f t="shared" ref="J74" ca="1" si="393">MATCH(OFFSET($D74,0,$C74)+1,OFFSET($D74,1,$C74,ROW($A$81)-ROW($A74)),0)</f>
        <v>3</v>
      </c>
      <c r="K74" s="156">
        <f ca="1">ROUND(INDEX(PO!T$12:T$121,MATCH($A74,PO!$V$12:$V$121,0)),2)+10^-12</f>
        <v>9.9999999999999998E-13</v>
      </c>
      <c r="L74" s="342"/>
      <c r="M74" s="336"/>
      <c r="N74" s="334"/>
      <c r="O74" s="171" t="s">
        <v>20</v>
      </c>
      <c r="P74" s="166">
        <f t="shared" ref="P74:W74" ca="1" si="394">IF($B74,ROUND(P73*$N72,2),ROUND(SUMIF(OFFSET($B74,1,0,$D74),TRUE,OFFSET(P74,1,0,$D74))/SUMIF(OFFSET($B74,1,0,$D74),TRUE,OFFSET($K74,1,0,$D74))*$N72,2))</f>
        <v>0</v>
      </c>
      <c r="Q74" s="144">
        <f t="shared" ca="1" si="394"/>
        <v>0</v>
      </c>
      <c r="R74" s="144">
        <f t="shared" ca="1" si="394"/>
        <v>0</v>
      </c>
      <c r="S74" s="144">
        <f t="shared" ca="1" si="394"/>
        <v>0</v>
      </c>
      <c r="T74" s="144">
        <f t="shared" ca="1" si="394"/>
        <v>0</v>
      </c>
      <c r="U74" s="144">
        <f t="shared" ca="1" si="394"/>
        <v>0</v>
      </c>
      <c r="V74" s="144">
        <f t="shared" ca="1" si="394"/>
        <v>0</v>
      </c>
      <c r="W74" s="174">
        <f t="shared" ca="1" si="394"/>
        <v>0</v>
      </c>
      <c r="X74" s="163"/>
      <c r="AC74" s="144">
        <f t="shared" ref="AC74" ca="1" si="395">IF($B74,ROUND(AC73*$N72,2),ROUND(SUMIF(OFFSET($B74,1,0,$D74),TRUE,OFFSET(AC74,1,0,$D74))/SUMIF(OFFSET($B74,1,0,$D74),TRUE,OFFSET($K74,1,0,$D74))*$N72,2))</f>
        <v>0</v>
      </c>
    </row>
    <row r="75" spans="1:29" customFormat="1" ht="14.25" customHeight="1" x14ac:dyDescent="0.25">
      <c r="A75" s="1"/>
      <c r="B75" s="1"/>
      <c r="C75" s="1"/>
      <c r="D75" s="1"/>
      <c r="E75" s="1"/>
      <c r="F75" s="1"/>
      <c r="G75" s="1"/>
      <c r="H75" s="1"/>
      <c r="I75" s="1"/>
      <c r="J75" s="1"/>
      <c r="K75" s="1"/>
      <c r="L75" s="341" t="str">
        <f ca="1">INDEX(PO!K$12:K$121,MATCH($A77,PO!$V$12:$V$121,0))</f>
        <v>6.2.</v>
      </c>
      <c r="M75" s="335" t="str">
        <f ca="1">INDEX(PO!N$12:N$121,MATCH($A77,PO!$V$12:$V$121,0))</f>
        <v>PAVIMENTAÇÃO EM CBUQ</v>
      </c>
      <c r="N75" s="333">
        <f t="shared" ref="N75" ca="1" si="396">IF(ROUND(K77,2)=0,K77,ROUND(K77,2))</f>
        <v>9.9999999999999998E-13</v>
      </c>
      <c r="O75" s="187" t="s">
        <v>143</v>
      </c>
      <c r="P75" s="192">
        <f t="shared" ref="P75" ca="1" si="397">IF($B77,0,P76-IF(ISNUMBER(O76),O76,0))</f>
        <v>0</v>
      </c>
      <c r="Q75" s="193">
        <f t="shared" ref="Q75" ca="1" si="398">IF($B77,0,Q76-IF(ISNUMBER(P76),P76,0))</f>
        <v>0</v>
      </c>
      <c r="R75" s="193">
        <v>0.5</v>
      </c>
      <c r="S75" s="193">
        <v>0.5</v>
      </c>
      <c r="T75" s="193">
        <f t="shared" ref="T75" ca="1" si="399">IF($B77,0,T76-IF(ISNUMBER(S76),S76,0))</f>
        <v>0</v>
      </c>
      <c r="U75" s="193">
        <f t="shared" ref="U75" ca="1" si="400">IF($B77,0,U76-IF(ISNUMBER(T76),T76,0))</f>
        <v>0</v>
      </c>
      <c r="V75" s="193">
        <f t="shared" ref="V75" ca="1" si="401">IF($B77,0,V76-IF(ISNUMBER(U76),U76,0))</f>
        <v>0</v>
      </c>
      <c r="W75" s="194">
        <f t="shared" ref="W75" ca="1" si="402">IF($B77,0,W76-IF(ISNUMBER(V76),V76,0))</f>
        <v>0</v>
      </c>
      <c r="X75" s="163"/>
      <c r="AC75" s="188">
        <f t="shared" ref="AC75" ca="1" si="403">IF($B77,0,AC76-IF(ISNUMBER(AB76),AB76,0))</f>
        <v>0</v>
      </c>
    </row>
    <row r="76" spans="1:29" customFormat="1" ht="13.8" x14ac:dyDescent="0.25">
      <c r="A76" s="11"/>
      <c r="B76" s="11"/>
      <c r="C76" s="11"/>
      <c r="D76" s="11"/>
      <c r="E76" s="11"/>
      <c r="F76" s="11"/>
      <c r="G76" s="11"/>
      <c r="H76" s="11"/>
      <c r="I76" s="11"/>
      <c r="J76" s="11"/>
      <c r="K76" s="11"/>
      <c r="L76" s="342"/>
      <c r="M76" s="336"/>
      <c r="N76" s="334"/>
      <c r="O76" s="145" t="s">
        <v>145</v>
      </c>
      <c r="P76" s="165">
        <f t="shared" ref="P76" ca="1" si="404">MIN(IF($B77,P75+IF(ISNUMBER(O76),O76,0),P77/$N75),1)</f>
        <v>0</v>
      </c>
      <c r="Q76" s="143">
        <f t="shared" ref="Q76" ca="1" si="405">MIN(IF($B77,Q75+IF(ISNUMBER(P76),P76,0),Q77/$N75),1)</f>
        <v>0</v>
      </c>
      <c r="R76" s="143">
        <f t="shared" ref="R76" ca="1" si="406">MIN(IF($B77,R75+IF(ISNUMBER(Q76),Q76,0),R77/$N75),1)</f>
        <v>0.5</v>
      </c>
      <c r="S76" s="143">
        <f t="shared" ref="S76" ca="1" si="407">MIN(IF($B77,S75+IF(ISNUMBER(R76),R76,0),S77/$N75),1)</f>
        <v>1</v>
      </c>
      <c r="T76" s="143">
        <f t="shared" ref="T76" ca="1" si="408">MIN(IF($B77,T75+IF(ISNUMBER(S76),S76,0),T77/$N75),1)</f>
        <v>1</v>
      </c>
      <c r="U76" s="143">
        <f t="shared" ref="U76" ca="1" si="409">MIN(IF($B77,U75+IF(ISNUMBER(T76),T76,0),U77/$N75),1)</f>
        <v>1</v>
      </c>
      <c r="V76" s="143">
        <f t="shared" ref="V76" ca="1" si="410">MIN(IF($B77,V75+IF(ISNUMBER(U76),U76,0),V77/$N75),1)</f>
        <v>1</v>
      </c>
      <c r="W76" s="143">
        <f t="shared" ref="W76" ca="1" si="411">MIN(IF($B77,W75+IF(ISNUMBER(V76),V76,0),W77/$N75),1)</f>
        <v>1</v>
      </c>
      <c r="X76" s="163"/>
      <c r="AC76" s="143">
        <f t="shared" ref="AC76" ca="1" si="412">MIN(IF($B77,AC75+IF(ISNUMBER(AB76),AB76,0),AC77/$N75),1)</f>
        <v>0</v>
      </c>
    </row>
    <row r="77" spans="1:29" customFormat="1" ht="13.8" x14ac:dyDescent="0.25">
      <c r="A77" s="11">
        <f ca="1">OFFSET(A77,-CFF.NumLinha,0)+1</f>
        <v>20</v>
      </c>
      <c r="B77" s="11" t="b">
        <f ca="1">$C77&gt;=OFFSET($C77,CFF.NumLinha,0)</f>
        <v>1</v>
      </c>
      <c r="C77" s="11">
        <f ca="1">INDEX(PO!A$12:A$121,MATCH($A77,PO!$V$12:$V$121,0))</f>
        <v>2</v>
      </c>
      <c r="D77" s="11">
        <f t="shared" ref="D77:D80" ca="1" si="413">IF(ISERROR(J77),I77,SMALL(I77:J77,1))-1</f>
        <v>2</v>
      </c>
      <c r="E77" s="11">
        <f ca="1">IF($C77=1,OFFSET(E77,-CFF.NumLinha,0)+1,OFFSET(E77,-CFF.NumLinha,0))</f>
        <v>6</v>
      </c>
      <c r="F77" s="11">
        <f ca="1">IF($C77=1,0,IF($C77=2,OFFSET(F77,-CFF.NumLinha,0)+1,OFFSET(F77,-CFF.NumLinha,0)))</f>
        <v>2</v>
      </c>
      <c r="G77" s="11">
        <f ca="1">IF(AND($C77&lt;=2,$C77&lt;&gt;0),0,IF($C77=3,OFFSET(G77,-CFF.NumLinha,0)+1,OFFSET(G77,-CFF.NumLinha,0)))</f>
        <v>0</v>
      </c>
      <c r="H77" s="11">
        <f ca="1">IF(AND($C77&lt;=3,$C77&lt;&gt;0),0,IF($C77=4,OFFSET(H77,-CFF.NumLinha,0)+1,OFFSET(H77,-CFF.NumLinha,0)))</f>
        <v>0</v>
      </c>
      <c r="I77" s="11">
        <f t="shared" ref="I77:I80" ca="1" si="414">MATCH(0,OFFSET($D77,1,$C77,ROW($A$81)-ROW($A77)),0)</f>
        <v>4</v>
      </c>
      <c r="J77" s="11">
        <f t="shared" ref="J77" ca="1" si="415">MATCH(OFFSET($D77,0,$C77)+1,OFFSET($D77,1,$C77,ROW($A$81)-ROW($A77)),0)</f>
        <v>3</v>
      </c>
      <c r="K77" s="156">
        <f ca="1">ROUND(INDEX(PO!T$12:T$121,MATCH($A77,PO!$V$12:$V$121,0)),2)+10^-12</f>
        <v>9.9999999999999998E-13</v>
      </c>
      <c r="L77" s="342"/>
      <c r="M77" s="336"/>
      <c r="N77" s="334"/>
      <c r="O77" s="171" t="s">
        <v>20</v>
      </c>
      <c r="P77" s="166">
        <f t="shared" ref="P77:W77" ca="1" si="416">IF($B77,ROUND(P76*$N75,2),ROUND(SUMIF(OFFSET($B77,1,0,$D77),TRUE,OFFSET(P77,1,0,$D77))/SUMIF(OFFSET($B77,1,0,$D77),TRUE,OFFSET($K77,1,0,$D77))*$N75,2))</f>
        <v>0</v>
      </c>
      <c r="Q77" s="144">
        <f t="shared" ca="1" si="416"/>
        <v>0</v>
      </c>
      <c r="R77" s="144">
        <f t="shared" ca="1" si="416"/>
        <v>0</v>
      </c>
      <c r="S77" s="144">
        <f t="shared" ca="1" si="416"/>
        <v>0</v>
      </c>
      <c r="T77" s="144">
        <f t="shared" ca="1" si="416"/>
        <v>0</v>
      </c>
      <c r="U77" s="144">
        <f t="shared" ca="1" si="416"/>
        <v>0</v>
      </c>
      <c r="V77" s="144">
        <f t="shared" ca="1" si="416"/>
        <v>0</v>
      </c>
      <c r="W77" s="174">
        <f t="shared" ca="1" si="416"/>
        <v>0</v>
      </c>
      <c r="X77" s="163"/>
      <c r="AC77" s="144">
        <f t="shared" ref="AC77" ca="1" si="417">IF($B77,ROUND(AC76*$N75,2),ROUND(SUMIF(OFFSET($B77,1,0,$D77),TRUE,OFFSET(AC77,1,0,$D77))/SUMIF(OFFSET($B77,1,0,$D77),TRUE,OFFSET($K77,1,0,$D77))*$N75,2))</f>
        <v>0</v>
      </c>
    </row>
    <row r="78" spans="1:29" customFormat="1" ht="14.25" customHeight="1" x14ac:dyDescent="0.25">
      <c r="A78" s="1"/>
      <c r="B78" s="1"/>
      <c r="C78" s="1"/>
      <c r="D78" s="1"/>
      <c r="E78" s="1"/>
      <c r="F78" s="1"/>
      <c r="G78" s="1"/>
      <c r="H78" s="1"/>
      <c r="I78" s="1"/>
      <c r="J78" s="1"/>
      <c r="K78" s="1"/>
      <c r="L78" s="341" t="str">
        <f ca="1">INDEX(PO!K$12:K$121,MATCH($A80,PO!$V$12:$V$121,0))</f>
        <v>6.3.</v>
      </c>
      <c r="M78" s="335" t="str">
        <f ca="1">INDEX(PO!N$12:N$121,MATCH($A80,PO!$V$12:$V$121,0))</f>
        <v>SINALIZAÇÃO</v>
      </c>
      <c r="N78" s="333">
        <f t="shared" ref="N78" ca="1" si="418">IF(ROUND(K80,2)=0,K80,ROUND(K80,2))</f>
        <v>9.9999999999999998E-13</v>
      </c>
      <c r="O78" s="187" t="s">
        <v>143</v>
      </c>
      <c r="P78" s="192">
        <f t="shared" ref="P78" ca="1" si="419">IF($B80,0,P79-IF(ISNUMBER(O79),O79,0))</f>
        <v>0</v>
      </c>
      <c r="Q78" s="193">
        <f t="shared" ref="Q78" ca="1" si="420">IF($B80,0,Q79-IF(ISNUMBER(P79),P79,0))</f>
        <v>0</v>
      </c>
      <c r="R78" s="193">
        <f t="shared" ref="R78" ca="1" si="421">IF($B80,0,R79-IF(ISNUMBER(Q79),Q79,0))</f>
        <v>0</v>
      </c>
      <c r="S78" s="193">
        <v>1</v>
      </c>
      <c r="T78" s="193">
        <f t="shared" ref="T78" ca="1" si="422">IF($B80,0,T79-IF(ISNUMBER(S79),S79,0))</f>
        <v>0</v>
      </c>
      <c r="U78" s="193">
        <f t="shared" ref="U78" ca="1" si="423">IF($B80,0,U79-IF(ISNUMBER(T79),T79,0))</f>
        <v>0</v>
      </c>
      <c r="V78" s="193">
        <f t="shared" ref="V78" ca="1" si="424">IF($B80,0,V79-IF(ISNUMBER(U79),U79,0))</f>
        <v>0</v>
      </c>
      <c r="W78" s="194">
        <f t="shared" ref="W78" ca="1" si="425">IF($B80,0,W79-IF(ISNUMBER(V79),V79,0))</f>
        <v>0</v>
      </c>
      <c r="X78" s="163"/>
      <c r="AC78" s="188">
        <f t="shared" ref="AC78" ca="1" si="426">IF($B80,0,AC79-IF(ISNUMBER(AB79),AB79,0))</f>
        <v>0</v>
      </c>
    </row>
    <row r="79" spans="1:29" customFormat="1" ht="13.8" x14ac:dyDescent="0.25">
      <c r="A79" s="11"/>
      <c r="B79" s="11"/>
      <c r="C79" s="11"/>
      <c r="D79" s="11"/>
      <c r="E79" s="11"/>
      <c r="F79" s="11"/>
      <c r="G79" s="11"/>
      <c r="H79" s="11"/>
      <c r="I79" s="11"/>
      <c r="J79" s="11"/>
      <c r="K79" s="11"/>
      <c r="L79" s="342"/>
      <c r="M79" s="336"/>
      <c r="N79" s="334"/>
      <c r="O79" s="145" t="s">
        <v>145</v>
      </c>
      <c r="P79" s="165">
        <f t="shared" ref="P79" ca="1" si="427">MIN(IF($B80,P78+IF(ISNUMBER(O79),O79,0),P80/$N78),1)</f>
        <v>0</v>
      </c>
      <c r="Q79" s="143">
        <f t="shared" ref="Q79" ca="1" si="428">MIN(IF($B80,Q78+IF(ISNUMBER(P79),P79,0),Q80/$N78),1)</f>
        <v>0</v>
      </c>
      <c r="R79" s="143">
        <f t="shared" ref="R79" ca="1" si="429">MIN(IF($B80,R78+IF(ISNUMBER(Q79),Q79,0),R80/$N78),1)</f>
        <v>0</v>
      </c>
      <c r="S79" s="143">
        <f t="shared" ref="S79" ca="1" si="430">MIN(IF($B80,S78+IF(ISNUMBER(R79),R79,0),S80/$N78),1)</f>
        <v>1</v>
      </c>
      <c r="T79" s="143">
        <f t="shared" ref="T79" ca="1" si="431">MIN(IF($B80,T78+IF(ISNUMBER(S79),S79,0),T80/$N78),1)</f>
        <v>1</v>
      </c>
      <c r="U79" s="143">
        <f t="shared" ref="U79" ca="1" si="432">MIN(IF($B80,U78+IF(ISNUMBER(T79),T79,0),U80/$N78),1)</f>
        <v>1</v>
      </c>
      <c r="V79" s="143">
        <f t="shared" ref="V79" ca="1" si="433">MIN(IF($B80,V78+IF(ISNUMBER(U79),U79,0),V80/$N78),1)</f>
        <v>1</v>
      </c>
      <c r="W79" s="143">
        <f t="shared" ref="W79" ca="1" si="434">MIN(IF($B80,W78+IF(ISNUMBER(V79),V79,0),W80/$N78),1)</f>
        <v>1</v>
      </c>
      <c r="X79" s="163"/>
      <c r="AC79" s="143">
        <f t="shared" ref="AC79" ca="1" si="435">MIN(IF($B80,AC78+IF(ISNUMBER(AB79),AB79,0),AC80/$N78),1)</f>
        <v>0</v>
      </c>
    </row>
    <row r="80" spans="1:29" customFormat="1" ht="13.8" x14ac:dyDescent="0.25">
      <c r="A80" s="11">
        <f ca="1">OFFSET(A80,-CFF.NumLinha,0)+1</f>
        <v>21</v>
      </c>
      <c r="B80" s="11" t="b">
        <f ca="1">$C80&gt;=OFFSET($C80,CFF.NumLinha,0)</f>
        <v>1</v>
      </c>
      <c r="C80" s="11">
        <f ca="1">INDEX(PO!A$12:A$121,MATCH($A80,PO!$V$12:$V$121,0))</f>
        <v>2</v>
      </c>
      <c r="D80" s="11">
        <f t="shared" ref="D80" ca="1" si="436">IF(ISERROR(J80),I80,SMALL(I80:J80,1))-1</f>
        <v>0</v>
      </c>
      <c r="E80" s="11">
        <f ca="1">IF($C80=1,OFFSET(E80,-CFF.NumLinha,0)+1,OFFSET(E80,-CFF.NumLinha,0))</f>
        <v>6</v>
      </c>
      <c r="F80" s="11">
        <f ca="1">IF($C80=1,0,IF($C80=2,OFFSET(F80,-CFF.NumLinha,0)+1,OFFSET(F80,-CFF.NumLinha,0)))</f>
        <v>3</v>
      </c>
      <c r="G80" s="11">
        <f ca="1">IF(AND($C80&lt;=2,$C80&lt;&gt;0),0,IF($C80=3,OFFSET(G80,-CFF.NumLinha,0)+1,OFFSET(G80,-CFF.NumLinha,0)))</f>
        <v>0</v>
      </c>
      <c r="H80" s="11">
        <f ca="1">IF(AND($C80&lt;=3,$C80&lt;&gt;0),0,IF($C80=4,OFFSET(H80,-CFF.NumLinha,0)+1,OFFSET(H80,-CFF.NumLinha,0)))</f>
        <v>0</v>
      </c>
      <c r="I80" s="11">
        <f t="shared" ref="I80" ca="1" si="437">MATCH(0,OFFSET($D80,1,$C80,ROW($A$81)-ROW($A80)),0)</f>
        <v>1</v>
      </c>
      <c r="J80" s="11" t="e">
        <f t="shared" ref="J80" ca="1" si="438">MATCH(OFFSET($D80,0,$C80)+1,OFFSET($D80,1,$C80,ROW($A$81)-ROW($A80)),0)</f>
        <v>#N/A</v>
      </c>
      <c r="K80" s="156">
        <f ca="1">ROUND(INDEX(PO!T$12:T$121,MATCH($A80,PO!$V$12:$V$121,0)),2)+10^-12</f>
        <v>9.9999999999999998E-13</v>
      </c>
      <c r="L80" s="342"/>
      <c r="M80" s="336"/>
      <c r="N80" s="334"/>
      <c r="O80" s="171" t="s">
        <v>20</v>
      </c>
      <c r="P80" s="166">
        <f t="shared" ref="P80:W80" ca="1" si="439">IF($B80,ROUND(P79*$N78,2),ROUND(SUMIF(OFFSET($B80,1,0,$D80),TRUE,OFFSET(P80,1,0,$D80))/SUMIF(OFFSET($B80,1,0,$D80),TRUE,OFFSET($K80,1,0,$D80))*$N78,2))</f>
        <v>0</v>
      </c>
      <c r="Q80" s="144">
        <f t="shared" ca="1" si="439"/>
        <v>0</v>
      </c>
      <c r="R80" s="144">
        <f t="shared" ca="1" si="439"/>
        <v>0</v>
      </c>
      <c r="S80" s="144">
        <f t="shared" ca="1" si="439"/>
        <v>0</v>
      </c>
      <c r="T80" s="144">
        <f t="shared" ca="1" si="439"/>
        <v>0</v>
      </c>
      <c r="U80" s="144">
        <f t="shared" ca="1" si="439"/>
        <v>0</v>
      </c>
      <c r="V80" s="144">
        <f t="shared" ca="1" si="439"/>
        <v>0</v>
      </c>
      <c r="W80" s="174">
        <f t="shared" ca="1" si="439"/>
        <v>0</v>
      </c>
      <c r="X80" s="163"/>
      <c r="AC80" s="144">
        <f t="shared" ref="AC80" ca="1" si="440">IF($B80,ROUND(AC79*$N78,2),ROUND(SUMIF(OFFSET($B80,1,0,$D80),TRUE,OFFSET(AC80,1,0,$D80))/SUMIF(OFFSET($B80,1,0,$D80),TRUE,OFFSET($K80,1,0,$D80))*$N78,2))</f>
        <v>0</v>
      </c>
    </row>
    <row r="81" spans="1:29" ht="12.75" customHeight="1" x14ac:dyDescent="0.25">
      <c r="A81"/>
      <c r="B81"/>
      <c r="C81" s="11">
        <v>-1</v>
      </c>
      <c r="D81" s="11"/>
      <c r="E81" s="11">
        <v>0</v>
      </c>
      <c r="F81" s="11">
        <v>0</v>
      </c>
      <c r="G81" s="11">
        <v>0</v>
      </c>
      <c r="H81" s="11">
        <v>0</v>
      </c>
      <c r="I81"/>
      <c r="J81"/>
      <c r="K81"/>
      <c r="L81" s="69"/>
      <c r="M81" s="69"/>
      <c r="N81" s="131"/>
      <c r="O81" s="69"/>
      <c r="P81" s="69"/>
      <c r="Q81" s="131"/>
      <c r="R81" s="69"/>
      <c r="S81" s="69"/>
      <c r="T81" s="69"/>
      <c r="U81" s="69"/>
      <c r="V81" s="69"/>
      <c r="W81" s="69"/>
      <c r="X81" s="157"/>
      <c r="AC81" s="69"/>
    </row>
    <row r="82" spans="1:29" ht="12" customHeight="1" x14ac:dyDescent="0.25">
      <c r="A82"/>
      <c r="B82"/>
      <c r="C82"/>
      <c r="D82"/>
      <c r="E82"/>
      <c r="F82"/>
      <c r="G82"/>
      <c r="H82"/>
      <c r="I82"/>
      <c r="J82"/>
      <c r="K82"/>
      <c r="L82" s="1"/>
      <c r="M82" s="1"/>
      <c r="N82" s="1"/>
      <c r="O82" s="1"/>
      <c r="P82" s="1"/>
      <c r="Q82" s="1"/>
      <c r="R82" s="1"/>
      <c r="S82" s="1"/>
      <c r="T82" s="1"/>
      <c r="U82" s="1"/>
      <c r="V82" s="1"/>
      <c r="W82" s="1"/>
      <c r="X82" s="157"/>
      <c r="AC82" s="1"/>
    </row>
    <row r="83" spans="1:29" x14ac:dyDescent="0.25">
      <c r="A83"/>
      <c r="B83"/>
      <c r="C83"/>
      <c r="D83"/>
      <c r="E83"/>
      <c r="F83"/>
      <c r="G83"/>
      <c r="H83"/>
      <c r="I83"/>
      <c r="J83"/>
      <c r="K83"/>
      <c r="L83" s="340">
        <f>DADOS!I32</f>
        <v>0</v>
      </c>
      <c r="M83" s="340"/>
      <c r="N83" s="340"/>
      <c r="O83" s="1"/>
      <c r="P83" s="158"/>
      <c r="Q83" s="337"/>
      <c r="R83" s="337"/>
      <c r="S83" s="337"/>
      <c r="T83" s="1"/>
      <c r="U83" s="1"/>
      <c r="V83" s="1"/>
      <c r="W83" s="1"/>
      <c r="X83" s="157"/>
      <c r="AC83" s="1"/>
    </row>
    <row r="84" spans="1:29" x14ac:dyDescent="0.25">
      <c r="A84"/>
      <c r="B84"/>
      <c r="C84"/>
      <c r="D84"/>
      <c r="E84"/>
      <c r="F84"/>
      <c r="G84"/>
      <c r="H84"/>
      <c r="I84"/>
      <c r="J84"/>
      <c r="K84"/>
      <c r="L84" s="159" t="s">
        <v>120</v>
      </c>
      <c r="M84" s="339"/>
      <c r="N84" s="339"/>
      <c r="O84" s="1"/>
      <c r="P84" s="158"/>
      <c r="Q84" s="337"/>
      <c r="R84" s="337"/>
      <c r="S84" s="337"/>
      <c r="T84" s="1"/>
      <c r="U84" s="1"/>
      <c r="V84" s="1"/>
      <c r="W84" s="1"/>
      <c r="X84" s="157"/>
      <c r="AC84" s="1"/>
    </row>
    <row r="85" spans="1:29" x14ac:dyDescent="0.25">
      <c r="A85"/>
      <c r="B85"/>
      <c r="C85"/>
      <c r="D85"/>
      <c r="E85"/>
      <c r="F85"/>
      <c r="G85"/>
      <c r="H85"/>
      <c r="I85"/>
      <c r="J85"/>
      <c r="K85"/>
      <c r="L85" s="158"/>
      <c r="M85" s="338"/>
      <c r="N85" s="339"/>
      <c r="O85" s="1"/>
      <c r="P85" s="158"/>
      <c r="Q85" s="337"/>
      <c r="R85" s="337"/>
      <c r="S85" s="337"/>
      <c r="T85" s="1"/>
      <c r="U85" s="1"/>
      <c r="V85" s="1"/>
      <c r="W85" s="1"/>
      <c r="X85" s="157"/>
      <c r="AC85" s="1"/>
    </row>
    <row r="86" spans="1:29" x14ac:dyDescent="0.25">
      <c r="A86"/>
      <c r="B86"/>
      <c r="C86"/>
      <c r="D86"/>
      <c r="E86"/>
      <c r="F86"/>
      <c r="G86"/>
      <c r="H86"/>
      <c r="I86"/>
      <c r="J86"/>
      <c r="K86"/>
      <c r="L86" s="343">
        <f ca="1">PO!K135</f>
        <v>45699</v>
      </c>
      <c r="M86" s="343"/>
      <c r="N86" s="343"/>
      <c r="O86" s="1"/>
      <c r="P86" s="1"/>
      <c r="Q86" s="1"/>
      <c r="R86" s="1"/>
      <c r="S86" s="1"/>
      <c r="T86" s="1"/>
      <c r="U86" s="1"/>
      <c r="V86" s="1"/>
      <c r="W86" s="1"/>
      <c r="X86" s="160"/>
      <c r="AC86" s="1"/>
    </row>
    <row r="87" spans="1:29" x14ac:dyDescent="0.25">
      <c r="A87"/>
      <c r="B87"/>
      <c r="C87"/>
      <c r="D87"/>
      <c r="E87"/>
      <c r="F87"/>
      <c r="G87"/>
      <c r="H87"/>
      <c r="I87"/>
      <c r="J87"/>
      <c r="K87"/>
      <c r="L87" s="161" t="s">
        <v>121</v>
      </c>
      <c r="M87" s="69"/>
      <c r="N87" s="69"/>
      <c r="O87" s="1"/>
      <c r="P87" s="1"/>
      <c r="Q87" s="1"/>
      <c r="R87" s="1"/>
      <c r="S87" s="1"/>
      <c r="T87" s="1"/>
      <c r="U87" s="1"/>
      <c r="V87" s="1"/>
      <c r="W87" s="1"/>
      <c r="X87" s="160"/>
      <c r="AC87" s="1"/>
    </row>
    <row r="88" spans="1:29" x14ac:dyDescent="0.25">
      <c r="A88"/>
      <c r="B88"/>
      <c r="C88"/>
      <c r="D88"/>
      <c r="E88"/>
      <c r="F88"/>
      <c r="G88"/>
      <c r="H88"/>
      <c r="I88"/>
      <c r="J88"/>
      <c r="K88"/>
      <c r="L88" s="1"/>
      <c r="M88" s="1"/>
      <c r="N88" s="1"/>
      <c r="O88" s="1"/>
      <c r="P88" s="1"/>
      <c r="Q88" s="1"/>
      <c r="R88" s="1"/>
      <c r="S88" s="1"/>
      <c r="T88" s="1"/>
      <c r="U88" s="1"/>
      <c r="V88" s="1"/>
      <c r="W88" s="1"/>
      <c r="X88" s="160"/>
      <c r="AC88" s="1"/>
    </row>
    <row r="89" spans="1:29" x14ac:dyDescent="0.25">
      <c r="A89"/>
      <c r="B89"/>
      <c r="C89"/>
      <c r="D89"/>
      <c r="E89"/>
      <c r="F89"/>
      <c r="G89"/>
      <c r="H89"/>
      <c r="I89"/>
      <c r="J89"/>
      <c r="K89"/>
      <c r="L89" s="1"/>
      <c r="M89" s="1"/>
      <c r="N89" s="4"/>
      <c r="O89" s="1"/>
      <c r="P89" s="1"/>
      <c r="Q89" s="1"/>
      <c r="R89" s="1"/>
      <c r="S89" s="1"/>
      <c r="T89" s="1"/>
      <c r="U89" s="1"/>
      <c r="V89" s="1"/>
      <c r="W89" s="1"/>
      <c r="X89" s="157"/>
      <c r="AC89" s="1"/>
    </row>
    <row r="90" spans="1:29" x14ac:dyDescent="0.25">
      <c r="A90"/>
      <c r="B90"/>
      <c r="C90"/>
      <c r="D90"/>
      <c r="E90"/>
      <c r="F90"/>
      <c r="G90"/>
      <c r="H90"/>
      <c r="I90"/>
      <c r="J90"/>
      <c r="K90"/>
      <c r="L90" s="1"/>
      <c r="M90" s="1"/>
      <c r="N90" s="4"/>
      <c r="O90" s="1"/>
      <c r="P90" s="1"/>
      <c r="Q90" s="1"/>
      <c r="R90" s="1"/>
      <c r="S90" s="1"/>
      <c r="T90" s="1"/>
      <c r="U90" s="1"/>
      <c r="V90" s="1"/>
      <c r="W90" s="1"/>
      <c r="X90" s="157"/>
      <c r="AC90" s="1"/>
    </row>
    <row r="91" spans="1:29" x14ac:dyDescent="0.25">
      <c r="A91"/>
      <c r="B91"/>
      <c r="C91"/>
      <c r="D91"/>
      <c r="E91"/>
      <c r="F91"/>
      <c r="G91"/>
      <c r="H91"/>
      <c r="I91"/>
      <c r="J91"/>
      <c r="K91"/>
      <c r="L91" s="1"/>
      <c r="M91" s="1"/>
      <c r="N91" s="4"/>
      <c r="O91" s="1"/>
      <c r="P91" s="1"/>
      <c r="Q91" s="1"/>
      <c r="R91" s="1"/>
      <c r="S91" s="1"/>
      <c r="T91" s="1"/>
      <c r="U91" s="1"/>
      <c r="V91" s="1"/>
      <c r="W91" s="1"/>
      <c r="X91" s="157"/>
      <c r="AC91" s="1"/>
    </row>
  </sheetData>
  <sheetProtection password="C95B" sheet="1" objects="1" scenarios="1"/>
  <mergeCells count="76">
    <mergeCell ref="L75:L77"/>
    <mergeCell ref="M75:M77"/>
    <mergeCell ref="N75:N77"/>
    <mergeCell ref="L78:L80"/>
    <mergeCell ref="M78:M80"/>
    <mergeCell ref="N78:N80"/>
    <mergeCell ref="L69:L71"/>
    <mergeCell ref="M69:M71"/>
    <mergeCell ref="N69:N71"/>
    <mergeCell ref="L72:L74"/>
    <mergeCell ref="M72:M74"/>
    <mergeCell ref="N72:N74"/>
    <mergeCell ref="L63:L65"/>
    <mergeCell ref="M63:M65"/>
    <mergeCell ref="N63:N65"/>
    <mergeCell ref="L66:L68"/>
    <mergeCell ref="M66:M68"/>
    <mergeCell ref="N66:N68"/>
    <mergeCell ref="L57:L59"/>
    <mergeCell ref="M57:M59"/>
    <mergeCell ref="N57:N59"/>
    <mergeCell ref="L60:L62"/>
    <mergeCell ref="M60:M62"/>
    <mergeCell ref="N60:N62"/>
    <mergeCell ref="L51:L53"/>
    <mergeCell ref="M51:M53"/>
    <mergeCell ref="N51:N53"/>
    <mergeCell ref="L54:L56"/>
    <mergeCell ref="M54:M56"/>
    <mergeCell ref="N54:N56"/>
    <mergeCell ref="L45:L47"/>
    <mergeCell ref="M45:M47"/>
    <mergeCell ref="N45:N47"/>
    <mergeCell ref="L48:L50"/>
    <mergeCell ref="M48:M50"/>
    <mergeCell ref="N48:N50"/>
    <mergeCell ref="L39:L41"/>
    <mergeCell ref="M39:M41"/>
    <mergeCell ref="N39:N41"/>
    <mergeCell ref="L42:L44"/>
    <mergeCell ref="M42:M44"/>
    <mergeCell ref="N42:N44"/>
    <mergeCell ref="M33:M35"/>
    <mergeCell ref="N33:N35"/>
    <mergeCell ref="L36:L38"/>
    <mergeCell ref="M36:M38"/>
    <mergeCell ref="N36:N38"/>
    <mergeCell ref="L86:N86"/>
    <mergeCell ref="L11:L13"/>
    <mergeCell ref="M11:M13"/>
    <mergeCell ref="L14:M17"/>
    <mergeCell ref="N14:N17"/>
    <mergeCell ref="L18:L20"/>
    <mergeCell ref="L24:L26"/>
    <mergeCell ref="M24:M26"/>
    <mergeCell ref="N24:N26"/>
    <mergeCell ref="L27:L29"/>
    <mergeCell ref="M27:M29"/>
    <mergeCell ref="N27:N29"/>
    <mergeCell ref="L30:L32"/>
    <mergeCell ref="L8:M8"/>
    <mergeCell ref="N11:N13"/>
    <mergeCell ref="M18:M20"/>
    <mergeCell ref="N18:N20"/>
    <mergeCell ref="Q85:S85"/>
    <mergeCell ref="M85:N85"/>
    <mergeCell ref="Q84:S84"/>
    <mergeCell ref="Q83:S83"/>
    <mergeCell ref="L83:N83"/>
    <mergeCell ref="M84:N84"/>
    <mergeCell ref="L21:L23"/>
    <mergeCell ref="M21:M23"/>
    <mergeCell ref="N21:N23"/>
    <mergeCell ref="M30:M32"/>
    <mergeCell ref="N30:N32"/>
    <mergeCell ref="L33:L35"/>
  </mergeCells>
  <phoneticPr fontId="20" type="noConversion"/>
  <conditionalFormatting sqref="L11:N11 L12:M13 L18:N18">
    <cfRule type="expression" dxfId="48" priority="1234" stopIfTrue="1">
      <formula>$C13=1</formula>
    </cfRule>
  </conditionalFormatting>
  <conditionalFormatting sqref="O11 O18">
    <cfRule type="expression" dxfId="47" priority="1306" stopIfTrue="1">
      <formula>$B13=FALSE</formula>
    </cfRule>
    <cfRule type="expression" dxfId="46" priority="1307" stopIfTrue="1">
      <formula>$C13=1</formula>
    </cfRule>
  </conditionalFormatting>
  <conditionalFormatting sqref="P12:W12 AC12 AC19 AC22 AC25 AC28 AC31 AC34 AC37 AC40 AC43 AC46 AC49 AC52 AC55 AC58 AC61 AC64 AC67 AC70 AC73 AC76 AC79">
    <cfRule type="expression" dxfId="45" priority="1296" stopIfTrue="1">
      <formula>AND(ISNUMBER(O13),O13&gt;=$N11)</formula>
    </cfRule>
    <cfRule type="cellIs" dxfId="44" priority="1297" stopIfTrue="1" operator="notBetween">
      <formula>0</formula>
      <formula>1</formula>
    </cfRule>
  </conditionalFormatting>
  <conditionalFormatting sqref="P13:W13 AC13 AC20 AC23 AC26 AC29 AC32 AC35 AC38 AC41 AC44 AC47 AC50 AC53 AC56 AC59 AC62 AC65 AC68 AC71 AC74 AC77 AC80">
    <cfRule type="expression" dxfId="43" priority="1298" stopIfTrue="1">
      <formula>AND(ISNUMBER(O13),O13&gt;=$N11)</formula>
    </cfRule>
    <cfRule type="cellIs" dxfId="42" priority="1299" stopIfTrue="1" operator="notBetween">
      <formula>0</formula>
      <formula>$N11</formula>
    </cfRule>
  </conditionalFormatting>
  <conditionalFormatting sqref="P14:W14 AC14">
    <cfRule type="expression" dxfId="41" priority="1300" stopIfTrue="1">
      <formula>AND(ISNUMBER(O17),O17&gt;=$N14)</formula>
    </cfRule>
  </conditionalFormatting>
  <conditionalFormatting sqref="P15:W15 AC15">
    <cfRule type="expression" dxfId="40" priority="1301" stopIfTrue="1">
      <formula>AND(ISNUMBER(O17),O17&gt;=$N14)</formula>
    </cfRule>
  </conditionalFormatting>
  <conditionalFormatting sqref="P16:W16 AC16">
    <cfRule type="expression" dxfId="39" priority="1302" stopIfTrue="1">
      <formula>AND(ISNUMBER(O17),O17&gt;=$N14)</formula>
    </cfRule>
    <cfRule type="cellIs" dxfId="38" priority="1303" stopIfTrue="1" operator="notBetween">
      <formula>0</formula>
      <formula>1</formula>
    </cfRule>
  </conditionalFormatting>
  <conditionalFormatting sqref="P17:W17 AC17">
    <cfRule type="expression" dxfId="37" priority="1304" stopIfTrue="1">
      <formula>AND(ISNUMBER(O17),O17&gt;=$N14)</formula>
    </cfRule>
    <cfRule type="cellIs" dxfId="36" priority="1305" stopIfTrue="1" operator="notBetween">
      <formula>0</formula>
      <formula>$N14</formula>
    </cfRule>
  </conditionalFormatting>
  <conditionalFormatting sqref="L8">
    <cfRule type="cellIs" dxfId="35" priority="1291" stopIfTrue="1" operator="notEqual">
      <formula>""</formula>
    </cfRule>
  </conditionalFormatting>
  <conditionalFormatting sqref="N9">
    <cfRule type="expression" dxfId="34" priority="1290" stopIfTrue="1">
      <formula>TipoOrçamento&lt;&gt;"REPROGRAMADOAC"</formula>
    </cfRule>
  </conditionalFormatting>
  <conditionalFormatting sqref="L19:M20">
    <cfRule type="expression" dxfId="33" priority="2125" stopIfTrue="1">
      <formula>#REF!=1</formula>
    </cfRule>
  </conditionalFormatting>
  <conditionalFormatting sqref="P11:W11 AC18 AC11 AC21 AC24 AC27 AC30 AC33 AC36 AC39 AC42 AC45 AC48 AC51 AC54 AC57 AC60 AC63 AC66 AC69 AC72 AC75 AC78">
    <cfRule type="expression" dxfId="32" priority="445" stopIfTrue="1">
      <formula>AND(ISNUMBER(O13),O13&gt;=$N11)</formula>
    </cfRule>
    <cfRule type="expression" dxfId="31" priority="446" stopIfTrue="1">
      <formula>$B13=FALSE</formula>
    </cfRule>
    <cfRule type="expression" dxfId="30" priority="447" stopIfTrue="1">
      <formula>$C13=1</formula>
    </cfRule>
  </conditionalFormatting>
  <conditionalFormatting sqref="P19:W19">
    <cfRule type="expression" dxfId="29" priority="396" stopIfTrue="1">
      <formula>AND(ISNUMBER(O20),O20&gt;=$N18)</formula>
    </cfRule>
    <cfRule type="cellIs" dxfId="28" priority="397" stopIfTrue="1" operator="notBetween">
      <formula>0</formula>
      <formula>1</formula>
    </cfRule>
  </conditionalFormatting>
  <conditionalFormatting sqref="P20:W20">
    <cfRule type="expression" dxfId="27" priority="398" stopIfTrue="1">
      <formula>AND(ISNUMBER(O20),O20&gt;=$N18)</formula>
    </cfRule>
    <cfRule type="cellIs" dxfId="26" priority="399" stopIfTrue="1" operator="notBetween">
      <formula>0</formula>
      <formula>$N18</formula>
    </cfRule>
  </conditionalFormatting>
  <conditionalFormatting sqref="O10:W10">
    <cfRule type="expression" dxfId="25" priority="368" stopIfTrue="1">
      <formula>1=1</formula>
    </cfRule>
  </conditionalFormatting>
  <conditionalFormatting sqref="P18:W18">
    <cfRule type="expression" dxfId="24" priority="323" stopIfTrue="1">
      <formula>AND(ISNUMBER(O20),O20&gt;=$N18)</formula>
    </cfRule>
    <cfRule type="expression" dxfId="23" priority="324" stopIfTrue="1">
      <formula>$B20=FALSE</formula>
    </cfRule>
    <cfRule type="expression" dxfId="22" priority="325" stopIfTrue="1">
      <formula>$C20=1</formula>
    </cfRule>
  </conditionalFormatting>
  <conditionalFormatting sqref="AC10">
    <cfRule type="expression" dxfId="21" priority="246" stopIfTrue="1">
      <formula>1=1</formula>
    </cfRule>
  </conditionalFormatting>
  <conditionalFormatting sqref="L21:N21">
    <cfRule type="expression" dxfId="20" priority="42" stopIfTrue="1">
      <formula>$C23=1</formula>
    </cfRule>
  </conditionalFormatting>
  <conditionalFormatting sqref="O21">
    <cfRule type="expression" dxfId="19" priority="47" stopIfTrue="1">
      <formula>$B23=FALSE</formula>
    </cfRule>
    <cfRule type="expression" dxfId="18" priority="48" stopIfTrue="1">
      <formula>$C23=1</formula>
    </cfRule>
  </conditionalFormatting>
  <conditionalFormatting sqref="P22:W22">
    <cfRule type="expression" dxfId="17" priority="43" stopIfTrue="1">
      <formula>AND(ISNUMBER(O23),O23&gt;=$N21)</formula>
    </cfRule>
    <cfRule type="cellIs" dxfId="16" priority="44" stopIfTrue="1" operator="notBetween">
      <formula>0</formula>
      <formula>1</formula>
    </cfRule>
  </conditionalFormatting>
  <conditionalFormatting sqref="P23:W23">
    <cfRule type="expression" dxfId="15" priority="45" stopIfTrue="1">
      <formula>AND(ISNUMBER(O23),O23&gt;=$N21)</formula>
    </cfRule>
    <cfRule type="cellIs" dxfId="14" priority="46" stopIfTrue="1" operator="notBetween">
      <formula>0</formula>
      <formula>$N21</formula>
    </cfRule>
  </conditionalFormatting>
  <conditionalFormatting sqref="P21:W21">
    <cfRule type="expression" dxfId="13" priority="39" stopIfTrue="1">
      <formula>AND(ISNUMBER(O23),O23&gt;=$N21)</formula>
    </cfRule>
    <cfRule type="expression" dxfId="12" priority="40" stopIfTrue="1">
      <formula>$B23=FALSE</formula>
    </cfRule>
    <cfRule type="expression" dxfId="11" priority="41" stopIfTrue="1">
      <formula>$C23=1</formula>
    </cfRule>
  </conditionalFormatting>
  <conditionalFormatting sqref="L22:M23">
    <cfRule type="expression" dxfId="10" priority="4945" stopIfTrue="1">
      <formula>$C81=1</formula>
    </cfRule>
  </conditionalFormatting>
  <conditionalFormatting sqref="L24:N24 L27:N27 L30:N30 L33:N33 L36:N36 L39:N39 L42:N42 L45:N45 L48:N48 L51:N51 L54:N54 L57:N57 L60:N60 L63:N63 L66:N66 L69:N69 L72:N72 L75:N75 L78:N78 L25:M26 L28:M29 L31:M32 L34:M35 L37:M38 L40:M41 L43:M44 L46:M47 L49:M50 L52:M53 L55:M56 L58:M59 L61:M62 L64:M65 L67:M68 L70:M71 L73:M74 L76:M77 L79:M80">
    <cfRule type="expression" dxfId="9" priority="18" stopIfTrue="1">
      <formula>$C26=1</formula>
    </cfRule>
  </conditionalFormatting>
  <conditionalFormatting sqref="O24 O27 O30 O33 O36 O39 O42 O45 O48 O51 O54 O57 O60 O63 O66 O69 O72 O75 O78">
    <cfRule type="expression" dxfId="8" priority="23" stopIfTrue="1">
      <formula>$B26=FALSE</formula>
    </cfRule>
    <cfRule type="expression" dxfId="7" priority="24" stopIfTrue="1">
      <formula>$C26=1</formula>
    </cfRule>
  </conditionalFormatting>
  <conditionalFormatting sqref="P25:W25 P28:W28 P31:W31 P34:W34 P37:W37 P40:W40 P43:W43 P46:W46 P49:W49 P52:W52 P55:W55 P58:W58 P61:W61 P64:W64 P67:W67 P70:W70 P73:W73 P76:W76 P79:W79">
    <cfRule type="expression" dxfId="6" priority="19" stopIfTrue="1">
      <formula>AND(ISNUMBER(O26),O26&gt;=$N24)</formula>
    </cfRule>
    <cfRule type="cellIs" dxfId="5" priority="20" stopIfTrue="1" operator="notBetween">
      <formula>0</formula>
      <formula>1</formula>
    </cfRule>
  </conditionalFormatting>
  <conditionalFormatting sqref="P26:W26 P29:W29 P32:W32 P35:W35 P38:W38 P41:W41 P44:W44 P47:W47 P50:W50 P53:W53 P56:W56 P59:W59 P62:W62 P65:W65 P68:W68 P71:W71 P74:W74 P77:W77 P80:W80">
    <cfRule type="expression" dxfId="4" priority="21" stopIfTrue="1">
      <formula>AND(ISNUMBER(O26),O26&gt;=$N24)</formula>
    </cfRule>
    <cfRule type="cellIs" dxfId="3" priority="22" stopIfTrue="1" operator="notBetween">
      <formula>0</formula>
      <formula>$N24</formula>
    </cfRule>
  </conditionalFormatting>
  <conditionalFormatting sqref="P24:W24 P27:W27 P30:W30 P33:W33 P36:W36 P39:W39 P42:W42 P45:W45 P48:W48 P51:W51 P54:W54 P57:W57 P60:W60 P63:W63 P66:W66 P69:W69 P72:W72 P75:W75 P78:W78">
    <cfRule type="expression" dxfId="2" priority="15" stopIfTrue="1">
      <formula>AND(ISNUMBER(O26),O26&gt;=$N24)</formula>
    </cfRule>
    <cfRule type="expression" dxfId="1" priority="16" stopIfTrue="1">
      <formula>$B26=FALSE</formula>
    </cfRule>
    <cfRule type="expression" dxfId="0" priority="17" stopIfTrue="1">
      <formula>$C26=1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8:W18 P78:W78 P75:W75 P72:W72 P69:W69 P66:W66 P63:W63 P60:W60 P57:W57 P54:W54 P51:W51 P48:W48 P45:W45 P42:W42 P39:W39 P36:W36 P33:W33 P30:W30 P27:W27 P24:W24 AC78 AC75 AC72 AC69 AC66 AC63 AC60 AC57 AC54 AC51 AC48 AC45 AC42 AC39 AC36 AC33 AC30 AC27 AC24 P21:W21 AC21 P11:W11 AC18 AC11">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44" fitToHeight="0" orientation="landscape" r:id="rId1"/>
  <headerFooter alignWithMargins="0">
    <oddHeader>&amp;C&amp;14I</oddHeader>
    <oddFooter>&amp;R&amp;P&amp;L27.476 v008   micro</oddFooter>
  </headerFooter>
  <colBreaks count="1" manualBreakCount="1">
    <brk id="20" max="1048575"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58</vt:i4>
      </vt:variant>
    </vt:vector>
  </HeadingPairs>
  <TitlesOfParts>
    <vt:vector size="63" baseType="lpstr">
      <vt:lpstr>DADOS</vt:lpstr>
      <vt:lpstr>BDI (1)</vt:lpstr>
      <vt:lpstr>PO</vt:lpstr>
      <vt:lpstr>PLQ</vt:lpstr>
      <vt:lpstr>CFF</vt:lpstr>
      <vt:lpstr>PLQ!_FiltrarBancodeDados</vt:lpstr>
      <vt:lpstr>PO!_FiltrarBancodeDados</vt:lpstr>
      <vt:lpstr>'BDI (1)'!Area_de_impressao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Mauri Magnaguagno</cp:lastModifiedBy>
  <cp:lastPrinted>2025-02-11T14:08:54Z</cp:lastPrinted>
  <dcterms:created xsi:type="dcterms:W3CDTF">1998-03-27T18:43:07Z</dcterms:created>
  <dcterms:modified xsi:type="dcterms:W3CDTF">2025-02-11T14:12:34Z</dcterms:modified>
</cp:coreProperties>
</file>