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EstaPasta_de_trabalho"/>
  <mc:AlternateContent xmlns:mc="http://schemas.openxmlformats.org/markup-compatibility/2006">
    <mc:Choice Requires="x15">
      <x15ac:absPath xmlns:x15ac="http://schemas.microsoft.com/office/spreadsheetml/2010/11/ac" url="H:\03 - LAUDOS S2ID\ARI DA SILVA\2024 ARI DA SILVA\PDF LICITA\"/>
    </mc:Choice>
  </mc:AlternateContent>
  <workbookProtection workbookPassword="C95B" lockStructure="1"/>
  <bookViews>
    <workbookView xWindow="0" yWindow="0" windowWidth="22896" windowHeight="10320" activeTab="2"/>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0">DADOS!$A$1:$X$87</definedName>
    <definedName name="_xlnm.Print_Area" localSheetId="3">PLQ!$B$1:$O$33</definedName>
    <definedName name="_xlnm.Print_Area" localSheetId="2">PO!$K$1:$T$42</definedName>
    <definedName name="_xlnm.Database">TEXT(Import.DataBase,"mm-aaaa")</definedName>
    <definedName name="CFF.ColunaPadrão">CFF!$AC:$AC</definedName>
    <definedName name="CFF.Colunas">CFF!$P$10:$X$10</definedName>
    <definedName name="CFF.Dados">OFFSET(CFF!$L$17,1,0):OFFSET(CFF!$X$27,-1,-1)</definedName>
    <definedName name="CFF.IncluirLinha">MAX(PO!$V$12:$V$27)*CFF.NumLinha-ROW(CFF!$F$27)+ROW(CFF!$F$17)+1</definedName>
    <definedName name="CFF.Item">OFFSET(CFF!$L$17,1,0):OFFSET(CFF!$X$27,-1,-1)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OFFSET(PO!$M$12,1,0):OFFSET(PO!$M$27,-1,0)</definedName>
    <definedName name="Import.CR">DADOS!$A$29</definedName>
    <definedName name="Import.CTEF">DADOS!$A$43</definedName>
    <definedName name="Import.CustoUnitário">OFFSET(PO!$Q$12,1,0):OFFSET(PO!$Q$27,-1,0)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OFFSET(PO!$N$12,1,0):OFFSET(PO!$N$27,-1,0)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OFFSET(PO!$L$12,1,0):OFFSET(PO!$L$27,-1,0)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OFFSET(PO!$K$12,1,0):OFFSET(PO!$K$27,-1,0)</definedName>
    <definedName name="Import.Localidade">DADOS!$K$32</definedName>
    <definedName name="Import.LocalSINAPI">DADOS!$D$38</definedName>
    <definedName name="Import.Município">DADOS!$G$32</definedName>
    <definedName name="Import.Nível">OFFSET(PO!$J$12,1,0):OFFSET(PO!$J$27,-1,0)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OFFSET(PLQ!$F$12,1,0):OFFSET(PLQ!$P$27,-1,-1)</definedName>
    <definedName name="Import.POArred">PO!$X$3:$X$7</definedName>
    <definedName name="Import.PreçoTotal">OFFSET(PO!$T$12,1,0):OFFSET(PO!$T$27,-1,0)</definedName>
    <definedName name="Import.PreçoUnitário">OFFSET(PO!$S$12,1,0):OFFSET(PO!$S$27,-1,0)</definedName>
    <definedName name="Import.Programa">DADOS!$F$29</definedName>
    <definedName name="Import.Proponente">DADOS!$A$32</definedName>
    <definedName name="Import.Quantidade">OFFSET(PO!$P$12,1,0):OFFSET(PO!$P$27,-1,0)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OFFSET(PO!$O$12,1,0):OFFSET(PO!$O$27,-1,0)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OFFSET(PO!$Z$12,1,0):OFFSET(PO!$Z$27,-1,0)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PO!$K$28</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PLQ!$B$9:OFFSET(PLQ!$B$27,-1,0)</definedName>
    <definedName name="PLQ.LinhaPadrão">PLQ!$A$11:$P$11</definedName>
    <definedName name="PLQ.qtde.frentes">COUNTA(PLQ!$F$9:$P$9)</definedName>
    <definedName name="PO.BDI">OFFSET(PO!$R$12,1,0):OFFSET(PO!$R$27,-1,0)</definedName>
    <definedName name="PO.CustoRef">OFFSET(PO!$Y$12,1,0):OFFSET(PO!$Y$27,-1,0)</definedName>
    <definedName name="PO.CustoUnitario">ROUND(PO!$Q1,15-13*PO!$X$4)</definedName>
    <definedName name="PO.Dados">PO!$C$12:OFFSET(PO!$Z$27,-1,0)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62913"/>
</workbook>
</file>

<file path=xl/calcChain.xml><?xml version="1.0" encoding="utf-8"?>
<calcChain xmlns="http://schemas.openxmlformats.org/spreadsheetml/2006/main">
  <c r="F21" i="13" l="1"/>
  <c r="A21" i="13"/>
  <c r="W21" i="12"/>
  <c r="A21" i="12"/>
  <c r="F23" i="13"/>
  <c r="A23" i="13"/>
  <c r="F22" i="13"/>
  <c r="A22" i="13"/>
  <c r="F20" i="13"/>
  <c r="A20" i="13"/>
  <c r="F19" i="13"/>
  <c r="A19" i="13"/>
  <c r="F18" i="13"/>
  <c r="A18" i="13"/>
  <c r="F17" i="13"/>
  <c r="A17" i="13"/>
  <c r="W23" i="12"/>
  <c r="A23" i="12"/>
  <c r="V23" i="12" s="1"/>
  <c r="W22" i="12"/>
  <c r="A22" i="12"/>
  <c r="V22" i="12" s="1"/>
  <c r="W20" i="12"/>
  <c r="A20" i="12"/>
  <c r="V20" i="12" s="1"/>
  <c r="W19" i="12"/>
  <c r="A19" i="12"/>
  <c r="V19" i="12" s="1"/>
  <c r="W18" i="12"/>
  <c r="A18" i="12"/>
  <c r="V18" i="12" s="1"/>
  <c r="W17" i="12"/>
  <c r="A17" i="12"/>
  <c r="V17" i="12" s="1"/>
  <c r="D21" i="13" l="1"/>
  <c r="H21" i="12"/>
  <c r="V21" i="12"/>
  <c r="I21" i="12"/>
  <c r="E21" i="13"/>
  <c r="B21" i="12"/>
  <c r="E17" i="13"/>
  <c r="E19" i="13"/>
  <c r="E22" i="13"/>
  <c r="I19" i="12"/>
  <c r="I20" i="12"/>
  <c r="I23" i="12"/>
  <c r="B17" i="12"/>
  <c r="B18" i="12"/>
  <c r="B19" i="12"/>
  <c r="B20" i="12"/>
  <c r="B22" i="12"/>
  <c r="B23" i="12"/>
  <c r="I17" i="12"/>
  <c r="I22" i="12"/>
  <c r="E18" i="13"/>
  <c r="E20" i="13"/>
  <c r="E23" i="13"/>
  <c r="I18" i="12"/>
  <c r="H17" i="12"/>
  <c r="H18" i="12"/>
  <c r="H19" i="12"/>
  <c r="H20" i="12"/>
  <c r="H22" i="12"/>
  <c r="H23" i="12"/>
  <c r="F16" i="13"/>
  <c r="A16" i="13"/>
  <c r="W16" i="12"/>
  <c r="A16" i="12"/>
  <c r="V16" i="12" s="1"/>
  <c r="C21" i="13" l="1"/>
  <c r="E16" i="13"/>
  <c r="I16" i="12"/>
  <c r="B16" i="12"/>
  <c r="H16" i="12"/>
  <c r="F15" i="13" l="1"/>
  <c r="A15" i="13"/>
  <c r="X15" i="12"/>
  <c r="D15" i="13" s="1"/>
  <c r="W15" i="12"/>
  <c r="A15" i="12"/>
  <c r="E15" i="13" l="1"/>
  <c r="A25" i="13"/>
  <c r="W25" i="12"/>
  <c r="A25" i="12"/>
  <c r="F25" i="13" l="1"/>
  <c r="E25" i="13" s="1"/>
  <c r="C15" i="13"/>
  <c r="H25" i="12"/>
  <c r="V25" i="12"/>
  <c r="I25" i="12"/>
  <c r="B25" i="12"/>
  <c r="F26" i="13"/>
  <c r="A26" i="13"/>
  <c r="W26" i="12"/>
  <c r="A26" i="12"/>
  <c r="V26" i="12" s="1"/>
  <c r="I26" i="12" l="1"/>
  <c r="E26" i="13"/>
  <c r="B26" i="12"/>
  <c r="H26" i="12"/>
  <c r="F24" i="13" l="1"/>
  <c r="A24" i="13"/>
  <c r="X24" i="12"/>
  <c r="W24" i="12"/>
  <c r="A24" i="12"/>
  <c r="D24" i="13" l="1"/>
  <c r="E24" i="13"/>
  <c r="C24" i="13" l="1"/>
  <c r="F11" i="13" l="1"/>
  <c r="F14" i="13"/>
  <c r="F13" i="13"/>
  <c r="A14" i="13" l="1"/>
  <c r="W14" i="12"/>
  <c r="A14" i="12"/>
  <c r="V14" i="12" s="1"/>
  <c r="B14" i="12" l="1"/>
  <c r="H14" i="12"/>
  <c r="E14" i="13"/>
  <c r="I14" i="12"/>
  <c r="E7" i="13" l="1"/>
  <c r="P9" i="12"/>
  <c r="F10" i="13"/>
  <c r="G10" i="13" s="1"/>
  <c r="H10" i="13" s="1"/>
  <c r="I10" i="13" s="1"/>
  <c r="J10" i="13" s="1"/>
  <c r="K10" i="13" s="1"/>
  <c r="L10" i="13" s="1"/>
  <c r="M10" i="13" s="1"/>
  <c r="N10" i="13" s="1"/>
  <c r="O10" i="13" s="1"/>
  <c r="U10" i="13"/>
  <c r="AC9" i="11"/>
  <c r="AC10" i="11" s="1"/>
  <c r="K35" i="12"/>
  <c r="X13" i="12"/>
  <c r="W13" i="12"/>
  <c r="N24" i="17"/>
  <c r="N26" i="17" s="1"/>
  <c r="Q224" i="16"/>
  <c r="Q223" i="16"/>
  <c r="P2" i="11"/>
  <c r="A20" i="11"/>
  <c r="A23" i="11" s="1"/>
  <c r="A26" i="11" s="1"/>
  <c r="Q10" i="12"/>
  <c r="Q11" i="17"/>
  <c r="M33" i="17" s="1"/>
  <c r="N8" i="11"/>
  <c r="O9" i="11"/>
  <c r="P9" i="11" s="1"/>
  <c r="O10" i="11"/>
  <c r="A13" i="11"/>
  <c r="K13" i="11" s="1"/>
  <c r="N11" i="11" s="1"/>
  <c r="D17" i="11"/>
  <c r="L29" i="11"/>
  <c r="K41" i="12"/>
  <c r="B32" i="13" s="1"/>
  <c r="A11" i="13"/>
  <c r="E11" i="13" s="1"/>
  <c r="X11" i="12"/>
  <c r="O11" i="12" s="1"/>
  <c r="D11" i="13" s="1"/>
  <c r="J12" i="12"/>
  <c r="A12" i="13" s="1"/>
  <c r="N12" i="12"/>
  <c r="U12" i="12" s="1"/>
  <c r="A13" i="13"/>
  <c r="E13" i="13" s="1"/>
  <c r="K38" i="12"/>
  <c r="B29" i="13" s="1"/>
  <c r="N2" i="12"/>
  <c r="Y10" i="12"/>
  <c r="Z10" i="12"/>
  <c r="A11" i="12"/>
  <c r="G11" i="12" s="1"/>
  <c r="W11" i="12"/>
  <c r="A13" i="12"/>
  <c r="C13" i="13" s="1"/>
  <c r="N1" i="17"/>
  <c r="C2" i="17"/>
  <c r="A3" i="17"/>
  <c r="C3" i="17" s="1"/>
  <c r="I5" i="17"/>
  <c r="K5" i="17"/>
  <c r="C8" i="17"/>
  <c r="I8" i="17"/>
  <c r="C9" i="17"/>
  <c r="C10" i="17"/>
  <c r="C11" i="17"/>
  <c r="C12" i="17"/>
  <c r="C13" i="17"/>
  <c r="C14" i="17"/>
  <c r="A15" i="17"/>
  <c r="C15" i="17" s="1"/>
  <c r="A17" i="17"/>
  <c r="C17" i="17" s="1"/>
  <c r="I18" i="17"/>
  <c r="M18" i="17"/>
  <c r="I19" i="17"/>
  <c r="M19" i="17"/>
  <c r="I20" i="17"/>
  <c r="M20" i="17"/>
  <c r="C21" i="17"/>
  <c r="I21" i="17"/>
  <c r="M21" i="17"/>
  <c r="A22" i="17"/>
  <c r="C22" i="17" s="1"/>
  <c r="I22" i="17"/>
  <c r="M22" i="17"/>
  <c r="C27" i="17"/>
  <c r="A28" i="17"/>
  <c r="C28" i="17"/>
  <c r="A29" i="17"/>
  <c r="A32" i="17" s="1"/>
  <c r="I29" i="17"/>
  <c r="M32" i="17"/>
  <c r="I35" i="17"/>
  <c r="C38" i="17"/>
  <c r="A39" i="17"/>
  <c r="C39" i="17" s="1"/>
  <c r="A40" i="17"/>
  <c r="A41" i="17" s="1"/>
  <c r="C40" i="17"/>
  <c r="C44" i="17"/>
  <c r="A45" i="17"/>
  <c r="A46" i="17"/>
  <c r="C46" i="17"/>
  <c r="C45" i="17"/>
  <c r="J47" i="17"/>
  <c r="J48" i="17"/>
  <c r="J49" i="17"/>
  <c r="J50" i="17"/>
  <c r="A55" i="16"/>
  <c r="G55" i="16" s="1"/>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A47" i="17"/>
  <c r="A48" i="17" s="1"/>
  <c r="D13" i="13"/>
  <c r="X38" i="16"/>
  <c r="V38" i="16"/>
  <c r="W38" i="16"/>
  <c r="U38" i="16"/>
  <c r="G57" i="16" l="1"/>
  <c r="N25" i="17"/>
  <c r="O25" i="17" s="1"/>
  <c r="I37" i="17"/>
  <c r="L32" i="17"/>
  <c r="A49" i="17"/>
  <c r="C49" i="17" s="1"/>
  <c r="C48" i="17"/>
  <c r="A18" i="17"/>
  <c r="C47" i="17"/>
  <c r="A4" i="17"/>
  <c r="A23" i="17"/>
  <c r="D11" i="12"/>
  <c r="V11" i="12"/>
  <c r="F11" i="12"/>
  <c r="H11" i="12"/>
  <c r="E11" i="12"/>
  <c r="C11" i="12"/>
  <c r="B11" i="12"/>
  <c r="C13" i="12"/>
  <c r="C14" i="12" s="1"/>
  <c r="C15" i="12" s="1"/>
  <c r="V13" i="12"/>
  <c r="V15" i="12" s="1"/>
  <c r="F13" i="12"/>
  <c r="L32" i="11"/>
  <c r="O42" i="17"/>
  <c r="L11" i="11"/>
  <c r="A5" i="12"/>
  <c r="I11" i="12"/>
  <c r="G13" i="12"/>
  <c r="S13" i="12"/>
  <c r="E13" i="12"/>
  <c r="D13" i="12"/>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C16" i="12" l="1"/>
  <c r="C17" i="12" s="1"/>
  <c r="V24" i="12"/>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21" i="12" l="1"/>
  <c r="S21" i="12" s="1"/>
  <c r="T21" i="12" s="1"/>
  <c r="Z23" i="12"/>
  <c r="S23" i="12" s="1"/>
  <c r="T23" i="12" s="1"/>
  <c r="Z22" i="12"/>
  <c r="S22" i="12" s="1"/>
  <c r="T22" i="12" s="1"/>
  <c r="Z20" i="12"/>
  <c r="Z19" i="12"/>
  <c r="Z18" i="12"/>
  <c r="Z17" i="12"/>
  <c r="C18" i="12"/>
  <c r="Z16" i="12"/>
  <c r="M24" i="11"/>
  <c r="C26" i="11"/>
  <c r="Z15" i="12"/>
  <c r="S15" i="12" s="1"/>
  <c r="Z25" i="12"/>
  <c r="Z26" i="12"/>
  <c r="C23" i="11"/>
  <c r="G23" i="11" s="1"/>
  <c r="M21" i="11"/>
  <c r="Z24" i="12"/>
  <c r="S24" i="12" s="1"/>
  <c r="S108" i="16"/>
  <c r="Z13" i="12"/>
  <c r="Z11" i="12"/>
  <c r="S11" i="12" s="1"/>
  <c r="T11" i="12" s="1"/>
  <c r="Z14" i="12"/>
  <c r="T227" i="16"/>
  <c r="C19" i="17"/>
  <c r="A20" i="17"/>
  <c r="C20" i="17" s="1"/>
  <c r="C24" i="17"/>
  <c r="A25" i="17"/>
  <c r="C5" i="17"/>
  <c r="A6" i="17"/>
  <c r="D14" i="12"/>
  <c r="D15" i="12" s="1"/>
  <c r="F14" i="12"/>
  <c r="F15" i="12" s="1"/>
  <c r="G14" i="12"/>
  <c r="G15" i="12" s="1"/>
  <c r="E14" i="12"/>
  <c r="E15" i="12" s="1"/>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C19" i="12" l="1"/>
  <c r="D16" i="12"/>
  <c r="D17" i="12" s="1"/>
  <c r="D18" i="12" s="1"/>
  <c r="D19" i="12" s="1"/>
  <c r="D20" i="12" s="1"/>
  <c r="E16" i="12"/>
  <c r="E17" i="12" s="1"/>
  <c r="E18" i="12" s="1"/>
  <c r="E19" i="12" s="1"/>
  <c r="E20" i="12" s="1"/>
  <c r="F16" i="12"/>
  <c r="F17" i="12" s="1"/>
  <c r="F18" i="12" s="1"/>
  <c r="F19" i="12" s="1"/>
  <c r="F20" i="12" s="1"/>
  <c r="H26" i="11"/>
  <c r="G26" i="11"/>
  <c r="F26" i="11"/>
  <c r="B26" i="11"/>
  <c r="G16" i="12"/>
  <c r="G17" i="12" s="1"/>
  <c r="K15" i="12"/>
  <c r="B15" i="13" s="1"/>
  <c r="E23" i="11"/>
  <c r="E26" i="11" s="1"/>
  <c r="F23" i="11"/>
  <c r="B20" i="11"/>
  <c r="H23" i="11"/>
  <c r="C25" i="17"/>
  <c r="A26" i="17"/>
  <c r="C26" i="17" s="1"/>
  <c r="C6" i="17"/>
  <c r="A7" i="17"/>
  <c r="C7" i="17" s="1"/>
  <c r="Q20" i="17" s="1"/>
  <c r="K14" i="12"/>
  <c r="B14" i="13" s="1"/>
  <c r="F21" i="12" l="1"/>
  <c r="F22" i="12" s="1"/>
  <c r="F23" i="12" s="1"/>
  <c r="E21" i="12"/>
  <c r="E22" i="12" s="1"/>
  <c r="E23" i="12" s="1"/>
  <c r="D21" i="12"/>
  <c r="D22" i="12" s="1"/>
  <c r="D23" i="12" s="1"/>
  <c r="G18" i="12"/>
  <c r="K17" i="12"/>
  <c r="B17" i="13" s="1"/>
  <c r="C20" i="12"/>
  <c r="C21" i="12" s="1"/>
  <c r="K16" i="12"/>
  <c r="B16" i="13" s="1"/>
  <c r="V24" i="11"/>
  <c r="U24" i="11"/>
  <c r="AC24" i="11"/>
  <c r="AC25" i="11" s="1"/>
  <c r="T24" i="11"/>
  <c r="P24" i="11"/>
  <c r="P25" i="11" s="1"/>
  <c r="W24" i="11"/>
  <c r="S24" i="11"/>
  <c r="B23" i="11"/>
  <c r="S21" i="11" s="1"/>
  <c r="P18" i="17"/>
  <c r="R26" i="17"/>
  <c r="P22" i="17"/>
  <c r="P19" i="17"/>
  <c r="P21" i="17"/>
  <c r="R22" i="17"/>
  <c r="Q26" i="17"/>
  <c r="Q22" i="17"/>
  <c r="R19" i="17"/>
  <c r="P26" i="17"/>
  <c r="O26" i="17" s="1"/>
  <c r="O27" i="17" s="1"/>
  <c r="R21" i="17"/>
  <c r="R18" i="17"/>
  <c r="Q18" i="17"/>
  <c r="P20" i="17"/>
  <c r="R20" i="17"/>
  <c r="Q21" i="17"/>
  <c r="Q19" i="17"/>
  <c r="C22" i="12" l="1"/>
  <c r="G19" i="12"/>
  <c r="K18" i="12"/>
  <c r="B18" i="13" s="1"/>
  <c r="Q25" i="11"/>
  <c r="I26" i="11"/>
  <c r="J26" i="11"/>
  <c r="T21" i="11"/>
  <c r="J23" i="11"/>
  <c r="P22" i="11"/>
  <c r="Q22" i="11" s="1"/>
  <c r="AC21" i="11"/>
  <c r="AC22" i="11" s="1"/>
  <c r="W21" i="11"/>
  <c r="U21" i="11"/>
  <c r="V21" i="11"/>
  <c r="D24" i="12"/>
  <c r="D25" i="12" s="1"/>
  <c r="E24" i="12"/>
  <c r="E25" i="12" s="1"/>
  <c r="F24" i="12"/>
  <c r="F25" i="12" s="1"/>
  <c r="I23" i="11"/>
  <c r="V27" i="17"/>
  <c r="T16" i="17" s="1"/>
  <c r="G20" i="12" l="1"/>
  <c r="G21" i="12" s="1"/>
  <c r="K21" i="12" s="1"/>
  <c r="B21" i="13" s="1"/>
  <c r="K19" i="12"/>
  <c r="B19" i="13" s="1"/>
  <c r="C23" i="12"/>
  <c r="R25" i="11"/>
  <c r="D26" i="11"/>
  <c r="E26" i="12"/>
  <c r="F26" i="12"/>
  <c r="D26" i="12"/>
  <c r="D23" i="11"/>
  <c r="R22" i="11"/>
  <c r="S22" i="11" s="1"/>
  <c r="T22" i="11" s="1"/>
  <c r="J20" i="11"/>
  <c r="G22" i="12" l="1"/>
  <c r="K20" i="12"/>
  <c r="B20" i="13" s="1"/>
  <c r="S25" i="11"/>
  <c r="U22" i="11"/>
  <c r="I20" i="11"/>
  <c r="D20" i="11" s="1"/>
  <c r="G23" i="12" l="1"/>
  <c r="K23" i="12" s="1"/>
  <c r="B23" i="13" s="1"/>
  <c r="K22" i="12"/>
  <c r="B22" i="13" s="1"/>
  <c r="T25" i="11"/>
  <c r="V22" i="11"/>
  <c r="AC18" i="11"/>
  <c r="AC19" i="11" s="1"/>
  <c r="U25" i="11" l="1"/>
  <c r="W22" i="11"/>
  <c r="P19" i="11"/>
  <c r="V25" i="11" l="1"/>
  <c r="Q19" i="11"/>
  <c r="V18" i="11"/>
  <c r="W25" i="11" l="1"/>
  <c r="C24" i="12"/>
  <c r="R19" i="11"/>
  <c r="C25" i="12" l="1"/>
  <c r="C26" i="12" s="1"/>
  <c r="S19" i="11"/>
  <c r="G24" i="12" l="1"/>
  <c r="T19" i="11"/>
  <c r="G25" i="12" l="1"/>
  <c r="K25" i="12" s="1"/>
  <c r="B25" i="13" s="1"/>
  <c r="K24" i="12"/>
  <c r="U19" i="11"/>
  <c r="L21" i="11" l="1"/>
  <c r="L24" i="11"/>
  <c r="G26" i="12"/>
  <c r="B24" i="13"/>
  <c r="V19" i="11"/>
  <c r="K26" i="12" l="1"/>
  <c r="B26" i="13" s="1"/>
  <c r="W18" i="11"/>
  <c r="W19" i="11" s="1"/>
  <c r="I15" i="12" l="1"/>
  <c r="H15" i="12"/>
  <c r="B15" i="12" l="1"/>
  <c r="I13" i="12" l="1"/>
  <c r="H24" i="12" l="1"/>
  <c r="I24" i="12"/>
  <c r="H13" i="12"/>
  <c r="B13" i="12" s="1"/>
  <c r="B24" i="12" l="1"/>
  <c r="B12" i="12" l="1"/>
  <c r="S25" i="12" l="1"/>
  <c r="T25" i="12" s="1"/>
  <c r="S20" i="12" l="1"/>
  <c r="T20" i="12" s="1"/>
  <c r="X25" i="12" l="1"/>
  <c r="D25" i="13" l="1"/>
  <c r="X18" i="12"/>
  <c r="X19" i="12"/>
  <c r="X16" i="12"/>
  <c r="X21" i="12"/>
  <c r="X22" i="12"/>
  <c r="X23" i="12"/>
  <c r="X17" i="12"/>
  <c r="X14" i="12"/>
  <c r="X26" i="12"/>
  <c r="X20" i="12"/>
  <c r="U21" i="12" l="1"/>
  <c r="C25" i="13" l="1"/>
  <c r="S16" i="12"/>
  <c r="T16" i="12" s="1"/>
  <c r="C22" i="13"/>
  <c r="U22" i="12"/>
  <c r="U20" i="12"/>
  <c r="C20" i="13"/>
  <c r="D19" i="13"/>
  <c r="C16" i="13"/>
  <c r="D23" i="13"/>
  <c r="D14" i="13"/>
  <c r="D26" i="13"/>
  <c r="C18" i="13"/>
  <c r="S19" i="12"/>
  <c r="T19" i="12" s="1"/>
  <c r="U19" i="12" s="1"/>
  <c r="D16" i="13"/>
  <c r="D22" i="13"/>
  <c r="S17" i="12"/>
  <c r="T17" i="12" s="1"/>
  <c r="U17" i="12" s="1"/>
  <c r="S14" i="12"/>
  <c r="T14" i="12" s="1"/>
  <c r="U14" i="12" s="1"/>
  <c r="C26" i="13"/>
  <c r="S18" i="12"/>
  <c r="T18" i="12" s="1"/>
  <c r="U18" i="12" s="1"/>
  <c r="D17" i="13"/>
  <c r="D18" i="13"/>
  <c r="C19" i="13"/>
  <c r="C23" i="13"/>
  <c r="U23" i="12"/>
  <c r="C17" i="13"/>
  <c r="C14" i="13"/>
  <c r="D20" i="13"/>
  <c r="T13" i="12" l="1"/>
  <c r="U16" i="12"/>
  <c r="T15" i="12"/>
  <c r="S26" i="12" l="1"/>
  <c r="T26" i="12" s="1"/>
  <c r="U26" i="12" s="1"/>
  <c r="U25" i="12"/>
  <c r="U15" i="12"/>
  <c r="K23" i="11"/>
  <c r="N21" i="11" s="1"/>
  <c r="K20" i="11"/>
  <c r="N18" i="11" s="1"/>
  <c r="U13" i="12"/>
  <c r="U23" i="11" l="1"/>
  <c r="P23" i="11"/>
  <c r="R23" i="11"/>
  <c r="AC23" i="11"/>
  <c r="S23" i="11"/>
  <c r="Q23" i="11"/>
  <c r="W23" i="11"/>
  <c r="V23" i="11"/>
  <c r="T23" i="11"/>
  <c r="U20" i="11"/>
  <c r="Q20" i="11"/>
  <c r="W20" i="11"/>
  <c r="S20" i="11"/>
  <c r="R20" i="11"/>
  <c r="V20" i="11"/>
  <c r="P20" i="11"/>
  <c r="T20" i="11"/>
  <c r="AC20" i="11"/>
  <c r="T24" i="12"/>
  <c r="T12" i="12"/>
  <c r="N14" i="11" s="1"/>
  <c r="K26" i="11" l="1"/>
  <c r="N24" i="11" s="1"/>
  <c r="U24" i="12"/>
  <c r="U5" i="12" s="1"/>
  <c r="W26" i="11" l="1"/>
  <c r="W17" i="11" s="1"/>
  <c r="AC26" i="11"/>
  <c r="AC17" i="11" s="1"/>
  <c r="R26" i="11"/>
  <c r="R17" i="11" s="1"/>
  <c r="P26" i="11"/>
  <c r="P17" i="11" s="1"/>
  <c r="T26" i="11"/>
  <c r="T17" i="11" s="1"/>
  <c r="Q26" i="11"/>
  <c r="Q17" i="11" s="1"/>
  <c r="V26" i="11"/>
  <c r="V17" i="11" s="1"/>
  <c r="S26" i="11"/>
  <c r="S17" i="11" s="1"/>
  <c r="U26" i="11"/>
  <c r="U17" i="11" s="1"/>
  <c r="P15" i="11" l="1"/>
  <c r="P14" i="11" s="1"/>
  <c r="P16" i="11"/>
  <c r="V15" i="11"/>
  <c r="V14" i="11" s="1"/>
  <c r="V16" i="11"/>
  <c r="R16" i="11"/>
  <c r="R15" i="11"/>
  <c r="R14" i="11" s="1"/>
  <c r="Q15" i="11"/>
  <c r="Q14" i="11" s="1"/>
  <c r="Q16" i="11"/>
  <c r="AC16" i="11"/>
  <c r="AC15" i="11"/>
  <c r="AC14" i="11" s="1"/>
  <c r="S15" i="11"/>
  <c r="S14" i="11" s="1"/>
  <c r="S16" i="11"/>
  <c r="U16" i="11"/>
  <c r="U15" i="11"/>
  <c r="U14" i="11" s="1"/>
  <c r="T16" i="11"/>
  <c r="T15" i="11"/>
  <c r="T14" i="11" s="1"/>
  <c r="W15" i="11"/>
  <c r="W14" i="11" s="1"/>
  <c r="W16" i="11"/>
  <c r="L8" i="11" l="1"/>
</calcChain>
</file>

<file path=xl/sharedStrings.xml><?xml version="1.0" encoding="utf-8"?>
<sst xmlns="http://schemas.openxmlformats.org/spreadsheetml/2006/main" count="439" uniqueCount="271">
  <si>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</si>
  <si>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</si>
  <si>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</si>
  <si>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</si>
  <si>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</si>
  <si>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</si>
  <si>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</si>
  <si>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</si>
  <si>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</si>
  <si>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</si>
  <si>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</si>
  <si>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</si>
  <si>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</si>
  <si>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</si>
  <si>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</si>
  <si>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</si>
  <si>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</si>
  <si>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</si>
  <si>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</si>
  <si>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</si>
  <si>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</si>
  <si>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</si>
  <si>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</si>
  <si>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</si>
  <si>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</si>
  <si>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</si>
  <si>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</si>
  <si>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</si>
  <si>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</si>
  <si>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</si>
  <si>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</si>
  <si>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</si>
  <si>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</si>
  <si>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</si>
  <si>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</si>
  <si>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</si>
  <si>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</si>
  <si>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</si>
  <si>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</si>
  <si>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</si>
  <si>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</si>
  <si>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</si>
  <si>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</si>
  <si>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</si>
  <si>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</si>
  <si>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</si>
  <si>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</si>
  <si>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</si>
  <si>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</si>
  <si>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</si>
  <si>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</si>
  <si>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</si>
  <si>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</si>
  <si>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</si>
  <si>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</si>
  <si>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</si>
  <si>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</si>
  <si>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</si>
  <si>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</si>
  <si>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</si>
  <si>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</si>
  <si>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</si>
  <si>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</si>
  <si>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</si>
  <si>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</si>
  <si>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</si>
  <si>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</si>
  <si>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</si>
  <si>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</si>
  <si>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</si>
  <si>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</si>
  <si>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</si>
  <si>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</si>
  <si>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</si>
  <si>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</si>
  <si>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</si>
  <si>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</si>
  <si>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</si>
  <si>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</si>
  <si>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</si>
  <si>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</si>
  <si>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</si>
  <si>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</si>
  <si>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</si>
  <si>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</si>
  <si>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</si>
  <si>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</si>
  <si>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</si>
  <si>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</si>
  <si>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</si>
  <si>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</si>
  <si>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</si>
  <si>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</si>
  <si>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</si>
  <si>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</si>
  <si>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</si>
  <si>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</si>
  <si>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</si>
  <si>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</si>
  <si>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</si>
  <si>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</si>
  <si>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</si>
  <si>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</si>
  <si>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</si>
  <si>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</si>
  <si>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</si>
  <si>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</si>
  <si>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</si>
  <si>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</si>
  <si>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</si>
  <si>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</si>
  <si>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</si>
  <si>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</si>
  <si>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</si>
  <si>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</si>
  <si>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</si>
  <si>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</si>
  <si>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</si>
  <si>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</si>
  <si>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</si>
  <si>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</si>
  <si>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</si>
  <si>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</si>
  <si>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</si>
  <si>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</si>
  <si>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</si>
  <si>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</si>
  <si>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</si>
  <si>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</si>
  <si>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</si>
  <si>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</si>
  <si>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</si>
  <si>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</si>
  <si>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</si>
  <si>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</si>
  <si>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</si>
  <si>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</si>
  <si>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</si>
  <si>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</si>
  <si>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</si>
  <si>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</si>
  <si>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</si>
  <si>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</si>
  <si>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</si>
  <si>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</si>
  <si>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</si>
  <si>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</si>
  <si>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</si>
  <si>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</si>
  <si>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</si>
  <si>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</si>
  <si>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</si>
  <si>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</si>
  <si>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</si>
  <si>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</si>
  <si>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</si>
  <si>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</si>
  <si>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</si>
  <si>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</si>
  <si>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</si>
  <si>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</si>
  <si>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</si>
  <si>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</si>
  <si>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</si>
  <si>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</si>
  <si>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</si>
  <si>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</si>
  <si>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</si>
  <si>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</si>
  <si>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</si>
  <si>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</si>
  <si>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</si>
  <si>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</si>
  <si>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</si>
  <si>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</si>
  <si>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</si>
  <si>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</si>
  <si>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</si>
  <si>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</si>
  <si>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</si>
  <si>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</si>
  <si>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</si>
  <si>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</si>
  <si>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</si>
  <si>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</si>
  <si>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</si>
  <si>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</si>
  <si>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</si>
  <si>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</si>
  <si>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</si>
  <si>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</si>
  <si>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</si>
  <si>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</si>
  <si>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</si>
  <si>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</si>
  <si>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</si>
  <si>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</si>
  <si>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</si>
  <si>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</si>
  <si>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</si>
  <si>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</si>
  <si>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</si>
  <si>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</si>
  <si>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</si>
  <si>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</si>
  <si>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</si>
  <si>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</si>
  <si>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</si>
  <si>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</si>
  <si>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</si>
  <si>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</si>
  <si>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</si>
  <si>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</si>
  <si>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</si>
  <si>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</si>
  <si>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</si>
  <si>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</si>
  <si>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</si>
  <si>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</si>
  <si>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</si>
  <si>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</si>
  <si>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</si>
  <si>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</si>
  <si>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</si>
  <si>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</si>
  <si>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</si>
  <si>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</si>
  <si>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</si>
  <si>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</si>
  <si>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</si>
  <si>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</si>
  <si>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 xml:space="preserve">PREFEITO MUNICIPAL </t>
  </si>
  <si>
    <t>BENTO GONÇALVES/RS</t>
  </si>
  <si>
    <t>SERVIÇO INICIAIS</t>
  </si>
  <si>
    <t>SINAPI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</si>
  <si>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</si>
  <si>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</si>
  <si>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</si>
  <si>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PAVIMENTAÇÃO</t>
  </si>
  <si>
    <t>PM BENTO</t>
  </si>
  <si>
    <t>DRENAGEM</t>
  </si>
  <si>
    <t>100576</t>
  </si>
  <si>
    <t>01</t>
  </si>
  <si>
    <t>DIOGO SEGABINAZZI SIQUEIRA</t>
  </si>
  <si>
    <t>97635</t>
  </si>
  <si>
    <t>102312</t>
  </si>
  <si>
    <t>101617</t>
  </si>
  <si>
    <t>94286</t>
  </si>
  <si>
    <t>PAVIMENTAÇÃO BASÁLTICA RUA ARI DA SILVA</t>
  </si>
  <si>
    <t>96385</t>
  </si>
  <si>
    <t>92863</t>
  </si>
  <si>
    <t>103689</t>
  </si>
  <si>
    <t>SICRO</t>
  </si>
  <si>
    <t>2003651</t>
  </si>
  <si>
    <t>CAIXA DE LIGAÇÃO E PASSAGEM - CLP 06 - AREIA EXTRAÍDA E BRITA PRODUZIDA</t>
  </si>
  <si>
    <t>UN</t>
  </si>
  <si>
    <t>Segundo relatório apresentado pela CEF, Encargos Sociais COM DESONERAÇÃO:  HORISTA 83,34% / MENSALISTA 46,32% - SEM DESONERAÇÃO: HORISTA 112,77% / MENSALISTA 69,88%.                              Valor de Mão de Obra previsto para esta obra, de acordo com o cálculo do BDI, é de 45%.                                                                                                                                                                                                                          OBS.: A empresa poderá adotar um valor de mão de obra diferente, devendo atentar ao percentual adotado para o cálculo do BDI e comprovações fiscais nos termos do Art. 109 da Lei Complementar 183/2013.</t>
  </si>
  <si>
    <t>02</t>
  </si>
  <si>
    <t>FORNECIMENTO E INSTALAÇÃO DE PLACA DE OBRA COM CHAPA GALVANIZADA E ESTRUTURA DE MADEIRA. AF_03/2022_PS</t>
  </si>
  <si>
    <t>REMOÇÃO DE PISO DE BLOCO INTERTRAVADO OU DE PEDRA PORTUGUESA, DE FORMA MANUAL, COM REAPROVEITAMENTO. AF_09/2023</t>
  </si>
  <si>
    <t>ESCAVAÇÃO MECANIZADA DE VALA COM PROF. DE 3,0 M ATÉ 4,5 M (MÉDIA MONTANTE E JUSANTE/UMA COMPOSIÇÃO POR TRECHO), ESCAVADEIRA (1,2 M3), LARG. DE 1,5 M A 2,5 M, EM SOLO DE 2A CATEGORIA, EM LOCAIS COM ALTO NÍVEL DE INTERFERÊNCIA. AF_02/2021</t>
  </si>
  <si>
    <t>PREPARO DE FUNDO DE VALA COM LARGURA MAIOR OU IGUAL A 1,5 M E MENOR QUE 2,5 M (ACERTO DO SOLO NATURAL). AF_08/2020</t>
  </si>
  <si>
    <t>TUBO DE CONCRETO PARA REDES COLETORAS DE ESGOTO SANITÁRIO, DIÂMETRO DE 1000 MM, JUNTA ELÁSTICA, INSTALADO EM LOCAL COM ALTO NÍVEL DE INTERFERÊNCIAS - FORNECIMENTO E ASSENTAMENTO. AF_03/2024</t>
  </si>
  <si>
    <t>EXECUÇÃO DE SARJETA DE CONCRETO USINADO, MOLDADA  IN LOCO  EM TRECHO CURVO, 60 CM BASE X 15 CM ALTURA. AF_01/2024</t>
  </si>
  <si>
    <t>EXECUÇÃO E COMPACTAÇÃO DE ATERRO COM SOLO PREDOMINANTEMENTE ARGILOSO - EXCLUSIVE SOLO, ESCAVAÇÃO, CARGA E TRANSPORTE. AF_11/2019</t>
  </si>
  <si>
    <t>REGULARIZAÇÃO E COMPACTAÇÃO DE SUBLEITO DE SOLO  PREDOMINANTEMENTE ARGILOSO. AF_11/2019</t>
  </si>
  <si>
    <t xml:space="preserve">GUIA (MEIO-FIO) EM CONCRETO/BASALTO, REJUNTADO COM ARGAMASSA, ESPESSURA=12cm, ALTURA=30cm, MATERIAL E MÃO DE OBRA </t>
  </si>
  <si>
    <t>PAVIMENTO EM PARALELEPIPEDO SOBRE COLCHAO DE PÓ DE PEDRA h=10 cm (PEDRAS PEQUENAS 30 A 35 PECAS POR M2)</t>
  </si>
  <si>
    <t>M2</t>
  </si>
  <si>
    <t>M3</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</si>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</sst>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0">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NumberFormat="1" applyFont="1" applyFill="1" applyBorder="1" applyAlignment="1" applyProtection="1">
      <alignment vertical="center" shrinkToFit="1"/>
      <protection locked="0"/>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1" fillId="0" borderId="18"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0" fontId="1" fillId="0" borderId="13" xfId="0" applyFont="1" applyFill="1" applyBorder="1" applyAlignment="1" applyProtection="1">
      <alignment horizontal="left"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Border="1" applyAlignment="1" applyProtection="1">
      <alignment horizontal="left"/>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51" fillId="29" borderId="0" xfId="0" applyFont="1" applyFill="1" applyBorder="1" applyAlignment="1" applyProtection="1">
      <alignment horizontal="left" vertical="top" wrapText="1" indent="2"/>
    </xf>
    <xf numFmtId="0" fontId="51" fillId="29" borderId="0" xfId="0" applyFont="1" applyFill="1" applyAlignment="1" applyProtection="1">
      <alignment horizontal="left" vertical="top" indent="2"/>
    </xf>
    <xf numFmtId="49" fontId="1" fillId="25" borderId="0" xfId="0" applyNumberFormat="1" applyFont="1" applyFill="1" applyBorder="1" applyAlignment="1" applyProtection="1">
      <alignment horizontal="left"/>
      <protection locked="0"/>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49" fontId="1" fillId="0" borderId="0" xfId="71" applyNumberFormat="1" applyFont="1" applyFill="1" applyBorder="1" applyAlignment="1" applyProtection="1">
      <alignment horizontal="left"/>
      <protection locked="0"/>
    </xf>
    <xf numFmtId="0" fontId="26" fillId="0" borderId="0" xfId="71" applyFont="1" applyBorder="1" applyAlignment="1" applyProtection="1">
      <alignment horizontal="left" vertical="center"/>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wrapText="1"/>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35" fillId="0" borderId="14" xfId="71" applyFont="1" applyBorder="1" applyAlignment="1" applyProtection="1">
      <alignment horizontal="center" vertical="center" wrapText="1"/>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1" fillId="0" borderId="0" xfId="71" applyFont="1" applyBorder="1" applyAlignment="1" applyProtection="1">
      <alignment horizontal="center" vertical="center"/>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0" fontId="49" fillId="0" borderId="0" xfId="0" applyFont="1" applyAlignment="1" applyProtection="1">
      <alignment horizontal="center" vertical="top"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232">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4.emf"/><Relationship Id="rId4"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4.emf"/><Relationship Id="rId5" Type="http://schemas.openxmlformats.org/officeDocument/2006/relationships/image" Target="../media/image2.emf"/><Relationship Id="rId4" Type="http://schemas.openxmlformats.org/officeDocument/2006/relationships/image" Target="../media/image8.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xdr:cNvPicPr>
              <a:picLocks noChangeArrowheads="1"/>
              <a:extLst>
                <a:ext uri="{84589F7E-364E-4C9E-8A38-B11213B215E9}">
                  <a14:cameraTool cellRange="PO!$T$1:$T$2" spid="_x0000_s155948"/>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xdr:cNvPicPr>
              <a:picLocks noChangeArrowheads="1"/>
              <a:extLst>
                <a:ext uri="{84589F7E-364E-4C9E-8A38-B11213B215E9}">
                  <a14:cameraTool cellRange="DADOS!$A$220:$X$230" spid="_x0000_s198294"/>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13</xdr:col>
          <xdr:colOff>3686175</xdr:colOff>
          <xdr:row>37</xdr:row>
          <xdr:rowOff>0</xdr:rowOff>
        </xdr:from>
        <xdr:to>
          <xdr:col>19</xdr:col>
          <xdr:colOff>123825</xdr:colOff>
          <xdr:row>41</xdr:row>
          <xdr:rowOff>142875</xdr:rowOff>
        </xdr:to>
        <xdr:pic>
          <xdr:nvPicPr>
            <xdr:cNvPr id="198588" name="Picture 483"/>
            <xdr:cNvPicPr>
              <a:picLocks noChangeArrowheads="1"/>
              <a:extLst>
                <a:ext uri="{84589F7E-364E-4C9E-8A38-B11213B215E9}">
                  <a14:cameraTool cellRange="DADOS!$A$53:$K$57" spid="_x0000_s198295"/>
                </a:ext>
              </a:extLst>
            </xdr:cNvPicPr>
          </xdr:nvPicPr>
          <xdr:blipFill>
            <a:blip xmlns:r="http://schemas.openxmlformats.org/officeDocument/2006/relationships" r:embed="rId2"/>
            <a:srcRect/>
            <a:stretch>
              <a:fillRect/>
            </a:stretch>
          </xdr:blipFill>
          <xdr:spPr bwMode="auto">
            <a:xfrm>
              <a:off x="7210425" y="20728781"/>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xdr:cNvPicPr>
              <a:picLocks noChangeArrowheads="1"/>
              <a:extLst>
                <a:ext uri="{84589F7E-364E-4C9E-8A38-B11213B215E9}">
                  <a14:cameraTool cellRange="DADOS!$A$220:$X$230" spid="_x0000_s203941"/>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xdr:cNvPicPr>
              <a:picLocks noChangeArrowheads="1"/>
              <a:extLst>
                <a:ext uri="{84589F7E-364E-4C9E-8A38-B11213B215E9}">
                  <a14:cameraTool cellRange="DADOS!$A$220:$X$230" spid="_x0000_s203942"/>
                </a:ext>
              </a:extLst>
            </xdr:cNvPicPr>
          </xdr:nvPicPr>
          <xdr:blipFill>
            <a:blip xmlns:r="http://schemas.openxmlformats.org/officeDocument/2006/relationships" r:embed="rId1"/>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28</xdr:row>
          <xdr:rowOff>9525</xdr:rowOff>
        </xdr:from>
        <xdr:to>
          <xdr:col>14</xdr:col>
          <xdr:colOff>28575</xdr:colOff>
          <xdr:row>32</xdr:row>
          <xdr:rowOff>152400</xdr:rowOff>
        </xdr:to>
        <xdr:pic>
          <xdr:nvPicPr>
            <xdr:cNvPr id="199399" name="Picture 483"/>
            <xdr:cNvPicPr>
              <a:picLocks noChangeArrowheads="1"/>
              <a:extLst>
                <a:ext uri="{84589F7E-364E-4C9E-8A38-B11213B215E9}">
                  <a14:cameraTool cellRange="DADOS!$A$53:$K$57" spid="_x0000_s203943"/>
                </a:ext>
              </a:extLst>
            </xdr:cNvPicPr>
          </xdr:nvPicPr>
          <xdr:blipFill>
            <a:blip xmlns:r="http://schemas.openxmlformats.org/officeDocument/2006/relationships" r:embed="rId2"/>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xdr:cNvPicPr>
              <a:picLocks noChangeArrowheads="1"/>
              <a:extLst>
                <a:ext uri="{84589F7E-364E-4C9E-8A38-B11213B215E9}">
                  <a14:cameraTool cellRange="PO!$T$1:$T$2" spid="_x0000_s203944"/>
                </a:ext>
              </a:extLst>
            </xdr:cNvPicPr>
          </xdr:nvPicPr>
          <xdr:blipFill>
            <a:blip xmlns:r="http://schemas.openxmlformats.org/officeDocument/2006/relationships" r:embed="rId3"/>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xdr:cNvPicPr>
              <a:picLocks noChangeArrowheads="1"/>
              <a:extLst>
                <a:ext uri="{84589F7E-364E-4C9E-8A38-B11213B215E9}">
                  <a14:cameraTool cellRange="DADOS!$A$220:$X$230" spid="_x0000_s205887"/>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xdr:cNvPicPr>
              <a:picLocks noChangeArrowheads="1"/>
              <a:extLst>
                <a:ext uri="{84589F7E-364E-4C9E-8A38-B11213B215E9}">
                  <a14:cameraTool cellRange="DADOS!$A$220:$X$230" spid="_x0000_s205888"/>
                </a:ext>
              </a:extLst>
            </xdr:cNvPicPr>
          </xdr:nvPicPr>
          <xdr:blipFill>
            <a:blip xmlns:r="http://schemas.openxmlformats.org/officeDocument/2006/relationships" r:embed="rId1"/>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28</xdr:row>
          <xdr:rowOff>0</xdr:rowOff>
        </xdr:from>
        <xdr:to>
          <xdr:col>22</xdr:col>
          <xdr:colOff>28575</xdr:colOff>
          <xdr:row>32</xdr:row>
          <xdr:rowOff>142875</xdr:rowOff>
        </xdr:to>
        <xdr:pic>
          <xdr:nvPicPr>
            <xdr:cNvPr id="200674" name="Picture 483"/>
            <xdr:cNvPicPr>
              <a:picLocks noChangeArrowheads="1"/>
              <a:extLst>
                <a:ext uri="{84589F7E-364E-4C9E-8A38-B11213B215E9}">
                  <a14:cameraTool cellRange="DADOS!$A$53:$K$57" spid="_x0000_s205889"/>
                </a:ext>
              </a:extLst>
            </xdr:cNvPicPr>
          </xdr:nvPicPr>
          <xdr:blipFill>
            <a:blip xmlns:r="http://schemas.openxmlformats.org/officeDocument/2006/relationships" r:embed="rId2"/>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xdr:cNvPicPr>
              <a:picLocks noChangeArrowheads="1"/>
              <a:extLst>
                <a:ext uri="{84589F7E-364E-4C9E-8A38-B11213B215E9}">
                  <a14:cameraTool cellRange="PO!$T$1:$T$2" spid="_x0000_s205890"/>
                </a:ext>
              </a:extLst>
            </xdr:cNvPicPr>
          </xdr:nvPicPr>
          <xdr:blipFill>
            <a:blip xmlns:r="http://schemas.openxmlformats.org/officeDocument/2006/relationships" r:embed="rId3"/>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0676" name="Picture 483"/>
            <xdr:cNvPicPr>
              <a:picLocks noChangeArrowheads="1"/>
              <a:extLst>
                <a:ext uri="{84589F7E-364E-4C9E-8A38-B11213B215E9}">
                  <a14:cameraTool cellRange="DADOS!$A$53:$K$57" spid="_x0000_s205891"/>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xdr:cNvPicPr>
              <a:picLocks noChangeArrowheads="1"/>
              <a:extLst>
                <a:ext uri="{84589F7E-364E-4C9E-8A38-B11213B215E9}">
                  <a14:cameraTool cellRange="PO!$T$1:$T$2" spid="_x0000_s205892"/>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0678" name="Picture 483"/>
            <xdr:cNvPicPr>
              <a:picLocks noChangeArrowheads="1"/>
              <a:extLst>
                <a:ext uri="{84589F7E-364E-4C9E-8A38-B11213B215E9}">
                  <a14:cameraTool cellRange="DADOS!$A$53:$K$57" spid="_x0000_s205893"/>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xdr:cNvPicPr>
              <a:picLocks noChangeArrowheads="1"/>
              <a:extLst>
                <a:ext uri="{84589F7E-364E-4C9E-8A38-B11213B215E9}">
                  <a14:cameraTool cellRange="PO!$T$1:$T$2" spid="_x0000_s205894"/>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0680" name="Picture 483"/>
            <xdr:cNvPicPr>
              <a:picLocks noChangeArrowheads="1"/>
              <a:extLst>
                <a:ext uri="{84589F7E-364E-4C9E-8A38-B11213B215E9}">
                  <a14:cameraTool cellRange="DADOS!$A$53:$K$57" spid="_x0000_s205895"/>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xdr:cNvPicPr>
              <a:picLocks noChangeArrowheads="1"/>
              <a:extLst>
                <a:ext uri="{84589F7E-364E-4C9E-8A38-B11213B215E9}">
                  <a14:cameraTool cellRange="PO!$T$1:$T$2" spid="_x0000_s205896"/>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0682" name="Picture 483"/>
            <xdr:cNvPicPr>
              <a:picLocks noChangeArrowheads="1"/>
              <a:extLst>
                <a:ext uri="{84589F7E-364E-4C9E-8A38-B11213B215E9}">
                  <a14:cameraTool cellRange="DADOS!$A$53:$K$57" spid="_x0000_s205897"/>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xdr:cNvPicPr>
              <a:picLocks noChangeArrowheads="1"/>
              <a:extLst>
                <a:ext uri="{84589F7E-364E-4C9E-8A38-B11213B215E9}">
                  <a14:cameraTool cellRange="PO!$T$1:$T$2" spid="_x0000_s205898"/>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28</xdr:row>
          <xdr:rowOff>0</xdr:rowOff>
        </xdr:from>
        <xdr:to>
          <xdr:col>23</xdr:col>
          <xdr:colOff>0</xdr:colOff>
          <xdr:row>32</xdr:row>
          <xdr:rowOff>142875</xdr:rowOff>
        </xdr:to>
        <xdr:pic>
          <xdr:nvPicPr>
            <xdr:cNvPr id="200684" name="Picture 483"/>
            <xdr:cNvPicPr>
              <a:picLocks noChangeArrowheads="1"/>
              <a:extLst>
                <a:ext uri="{84589F7E-364E-4C9E-8A38-B11213B215E9}">
                  <a14:cameraTool cellRange="DADOS!$A$53:$K$57" spid="_x0000_s205899"/>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xdr:cNvPicPr>
              <a:picLocks noChangeArrowheads="1"/>
              <a:extLst>
                <a:ext uri="{84589F7E-364E-4C9E-8A38-B11213B215E9}">
                  <a14:cameraTool cellRange="PO!$T$1:$T$2" spid="_x0000_s205900"/>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31" zoomScaleNormal="100" zoomScaleSheetLayoutView="100" workbookViewId="0">
      <selection activeCell="H43" sqref="H43:I43"/>
    </sheetView>
  </sheetViews>
  <sheetFormatPr defaultColWidth="9.109375" defaultRowHeight="13.2" x14ac:dyDescent="0.25"/>
  <cols>
    <col min="1" max="2" width="8.6640625" style="8" customWidth="1"/>
    <col min="3" max="5" width="8.6640625" style="1" customWidth="1"/>
    <col min="6" max="8" width="8.6640625" style="7" customWidth="1"/>
    <col min="9" max="24" width="8.6640625" style="1" customWidth="1"/>
    <col min="25" max="16384" width="9.109375" style="1"/>
  </cols>
  <sheetData>
    <row r="1" spans="1:25" ht="12.75" customHeight="1" x14ac:dyDescent="0.25">
      <c r="A1" s="103">
        <v>27476</v>
      </c>
      <c r="B1" s="289" t="s">
        <v>2</v>
      </c>
      <c r="C1" s="289"/>
      <c r="D1" s="289"/>
      <c r="E1" s="289"/>
      <c r="F1" s="289"/>
      <c r="G1" s="289"/>
      <c r="H1" s="289"/>
      <c r="I1" s="289"/>
      <c r="J1" s="289"/>
      <c r="K1" s="289"/>
      <c r="L1" s="289"/>
      <c r="M1" s="289"/>
      <c r="N1" s="289"/>
      <c r="O1" s="289"/>
      <c r="P1" s="289"/>
      <c r="Q1" s="289"/>
      <c r="R1" s="289"/>
      <c r="S1" s="289"/>
      <c r="T1" s="289"/>
      <c r="U1" s="289"/>
      <c r="V1" s="289"/>
      <c r="W1" s="289"/>
      <c r="X1" s="290"/>
    </row>
    <row r="2" spans="1:25" ht="13.5" customHeight="1" x14ac:dyDescent="0.25">
      <c r="A2" s="105" t="s">
        <v>228</v>
      </c>
      <c r="B2" s="291"/>
      <c r="C2" s="291"/>
      <c r="D2" s="291"/>
      <c r="E2" s="291"/>
      <c r="F2" s="291"/>
      <c r="G2" s="291"/>
      <c r="H2" s="291"/>
      <c r="I2" s="291"/>
      <c r="J2" s="291"/>
      <c r="K2" s="291"/>
      <c r="L2" s="291"/>
      <c r="M2" s="291"/>
      <c r="N2" s="291"/>
      <c r="O2" s="291"/>
      <c r="P2" s="291"/>
      <c r="Q2" s="291"/>
      <c r="R2" s="291"/>
      <c r="S2" s="291"/>
      <c r="T2" s="291"/>
      <c r="U2" s="291"/>
      <c r="V2" s="291"/>
      <c r="W2" s="291"/>
      <c r="X2" s="292"/>
    </row>
    <row r="3" spans="1:25" ht="13.5" customHeight="1" x14ac:dyDescent="0.25">
      <c r="A3" s="1"/>
      <c r="B3" s="1"/>
      <c r="F3" s="1"/>
      <c r="G3" s="1"/>
      <c r="H3" s="1"/>
    </row>
    <row r="4" spans="1:25" s="21" customFormat="1" ht="12.75" customHeight="1" x14ac:dyDescent="0.25">
      <c r="A4" s="302" t="s">
        <v>168</v>
      </c>
      <c r="B4" s="302"/>
      <c r="C4" s="302"/>
      <c r="D4" s="302"/>
      <c r="E4" s="302"/>
      <c r="F4" s="302"/>
      <c r="G4" s="302"/>
      <c r="H4" s="302"/>
      <c r="I4" s="302"/>
      <c r="J4" s="302"/>
      <c r="K4" s="302"/>
      <c r="L4" s="302"/>
      <c r="M4" s="302"/>
      <c r="N4" s="302"/>
      <c r="O4" s="302"/>
      <c r="P4" s="302"/>
      <c r="Q4" s="302"/>
      <c r="R4" s="302"/>
      <c r="S4" s="302"/>
      <c r="T4" s="302"/>
      <c r="U4" s="302"/>
      <c r="V4" s="302"/>
      <c r="W4" s="302"/>
      <c r="X4" s="302"/>
    </row>
    <row r="5" spans="1:25" s="21" customFormat="1" x14ac:dyDescent="0.25">
      <c r="A5" s="22"/>
      <c r="B5" s="22"/>
      <c r="F5" s="23"/>
      <c r="G5" s="23"/>
      <c r="H5" s="23"/>
    </row>
    <row r="6" spans="1:25" s="22" customFormat="1" ht="24.9" customHeight="1" x14ac:dyDescent="0.25">
      <c r="A6" s="303" t="s">
        <v>179</v>
      </c>
      <c r="B6" s="304"/>
      <c r="C6" s="304"/>
      <c r="D6" s="304"/>
      <c r="E6" s="304"/>
      <c r="F6" s="304"/>
      <c r="G6" s="304"/>
      <c r="H6" s="304"/>
      <c r="I6" s="304"/>
      <c r="J6" s="304"/>
      <c r="K6" s="304"/>
      <c r="L6" s="304"/>
      <c r="M6" s="304"/>
      <c r="N6" s="304"/>
      <c r="O6" s="304"/>
      <c r="P6" s="304"/>
      <c r="Q6" s="304"/>
      <c r="R6" s="304"/>
      <c r="S6" s="304"/>
      <c r="T6" s="304"/>
      <c r="U6" s="304"/>
      <c r="V6" s="304"/>
      <c r="W6" s="304"/>
      <c r="X6" s="304"/>
    </row>
    <row r="7" spans="1:25" s="21" customFormat="1" ht="12.75" customHeight="1" x14ac:dyDescent="0.25">
      <c r="A7" s="22"/>
      <c r="B7" s="22"/>
      <c r="F7" s="23"/>
      <c r="G7" s="23"/>
      <c r="H7" s="23"/>
    </row>
    <row r="8" spans="1:25" s="21" customFormat="1" ht="12.75" customHeight="1" x14ac:dyDescent="0.25">
      <c r="A8" s="305" t="s">
        <v>23</v>
      </c>
      <c r="B8" s="305"/>
      <c r="C8" s="305"/>
      <c r="D8" s="305"/>
      <c r="E8" s="305"/>
      <c r="F8" s="305"/>
      <c r="G8" s="305"/>
      <c r="H8" s="305"/>
      <c r="I8" s="305"/>
      <c r="J8" s="305"/>
      <c r="K8" s="305"/>
      <c r="L8" s="305"/>
      <c r="M8" s="305"/>
      <c r="N8" s="305"/>
      <c r="O8" s="305"/>
      <c r="P8" s="305"/>
      <c r="Q8" s="305"/>
      <c r="R8" s="305"/>
      <c r="S8" s="305"/>
      <c r="T8" s="305"/>
      <c r="U8" s="305"/>
      <c r="V8" s="305"/>
      <c r="W8" s="305"/>
      <c r="X8" s="305"/>
      <c r="Y8" s="24"/>
    </row>
    <row r="9" spans="1:25" s="21" customFormat="1" ht="6" customHeight="1" x14ac:dyDescent="0.25">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5">
      <c r="A10" s="307" t="s">
        <v>169</v>
      </c>
      <c r="B10" s="307"/>
      <c r="C10" s="307"/>
      <c r="D10" s="307"/>
      <c r="E10" s="307"/>
      <c r="F10" s="307"/>
      <c r="G10" s="307"/>
      <c r="H10" s="307"/>
      <c r="I10" s="307"/>
      <c r="J10" s="307"/>
      <c r="K10" s="307"/>
      <c r="L10" s="307"/>
      <c r="M10" s="307"/>
      <c r="N10" s="307"/>
      <c r="O10" s="307"/>
      <c r="P10" s="307"/>
      <c r="Q10" s="307"/>
      <c r="R10" s="307"/>
      <c r="S10" s="307"/>
      <c r="T10" s="307"/>
      <c r="U10" s="307"/>
      <c r="V10" s="307"/>
      <c r="W10" s="307"/>
      <c r="X10" s="307"/>
    </row>
    <row r="11" spans="1:25" s="21" customFormat="1" ht="6" customHeight="1" x14ac:dyDescent="0.25">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 customHeight="1" x14ac:dyDescent="0.25">
      <c r="A12" s="307" t="s">
        <v>1</v>
      </c>
      <c r="B12" s="307"/>
      <c r="C12" s="307"/>
      <c r="D12" s="307"/>
      <c r="E12" s="307"/>
      <c r="F12" s="307"/>
      <c r="G12" s="307"/>
      <c r="H12" s="307"/>
      <c r="I12" s="307"/>
      <c r="J12" s="307"/>
      <c r="K12" s="307"/>
      <c r="L12" s="307"/>
      <c r="M12" s="307"/>
      <c r="N12" s="307"/>
      <c r="O12" s="307"/>
      <c r="P12" s="307"/>
      <c r="Q12" s="307"/>
      <c r="R12" s="307"/>
      <c r="S12" s="307"/>
      <c r="T12" s="307"/>
      <c r="U12" s="307"/>
      <c r="V12" s="307"/>
      <c r="W12" s="307"/>
      <c r="X12" s="307"/>
    </row>
    <row r="13" spans="1:25" s="21" customFormat="1" x14ac:dyDescent="0.25">
      <c r="A13" s="22"/>
      <c r="B13" s="22"/>
      <c r="F13" s="23"/>
      <c r="G13" s="23"/>
      <c r="H13" s="23"/>
    </row>
    <row r="14" spans="1:25" s="21" customFormat="1" x14ac:dyDescent="0.25">
      <c r="A14" s="306" t="s">
        <v>24</v>
      </c>
      <c r="B14" s="305"/>
      <c r="C14" s="305"/>
      <c r="D14" s="305"/>
      <c r="E14" s="305"/>
      <c r="F14" s="305"/>
      <c r="G14" s="305"/>
      <c r="H14" s="305"/>
      <c r="I14" s="305"/>
      <c r="J14" s="305"/>
      <c r="K14" s="305"/>
      <c r="L14" s="305"/>
      <c r="M14" s="305"/>
      <c r="N14" s="305"/>
      <c r="O14" s="305"/>
      <c r="P14" s="305"/>
      <c r="Q14" s="305"/>
      <c r="R14" s="305"/>
      <c r="S14" s="305"/>
      <c r="T14" s="305"/>
      <c r="U14" s="305"/>
      <c r="V14" s="305"/>
      <c r="W14" s="305"/>
      <c r="X14" s="305"/>
    </row>
    <row r="15" spans="1:25" s="21" customFormat="1" x14ac:dyDescent="0.25">
      <c r="A15" s="22"/>
      <c r="B15" s="22"/>
      <c r="F15" s="23"/>
      <c r="G15" s="23"/>
      <c r="H15" s="23"/>
    </row>
    <row r="16" spans="1:25" s="21" customFormat="1" x14ac:dyDescent="0.25">
      <c r="A16" s="312" t="s">
        <v>186</v>
      </c>
      <c r="B16" s="313"/>
      <c r="C16" s="313"/>
      <c r="D16" s="313"/>
      <c r="E16" s="313"/>
      <c r="F16" s="313"/>
      <c r="G16" s="313"/>
      <c r="H16" s="313"/>
      <c r="I16" s="313"/>
      <c r="J16" s="313"/>
      <c r="K16" s="313"/>
      <c r="L16" s="313"/>
      <c r="M16" s="313"/>
      <c r="N16" s="313"/>
      <c r="O16" s="313"/>
      <c r="P16" s="313"/>
      <c r="Q16" s="313"/>
      <c r="R16" s="313"/>
      <c r="S16" s="313"/>
      <c r="T16" s="313"/>
      <c r="U16" s="313"/>
      <c r="V16" s="313"/>
      <c r="W16" s="313"/>
      <c r="X16" s="313"/>
    </row>
    <row r="17" spans="1:25" s="21" customFormat="1" ht="6" customHeight="1" x14ac:dyDescent="0.25">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5">
      <c r="A18" s="284" t="s">
        <v>187</v>
      </c>
      <c r="B18" s="284"/>
      <c r="C18" s="285"/>
      <c r="D18" s="285"/>
      <c r="E18" s="285"/>
      <c r="F18" s="285"/>
      <c r="G18" s="285"/>
      <c r="H18" s="285"/>
      <c r="I18" s="285"/>
      <c r="J18" s="285"/>
      <c r="K18" s="285"/>
      <c r="L18" s="285"/>
      <c r="M18" s="285"/>
      <c r="N18" s="285"/>
      <c r="O18" s="285"/>
      <c r="P18" s="285"/>
      <c r="Q18" s="285"/>
      <c r="R18" s="285"/>
      <c r="S18" s="285"/>
      <c r="T18" s="285"/>
      <c r="U18" s="285"/>
      <c r="V18" s="285"/>
      <c r="W18" s="285"/>
      <c r="X18" s="285"/>
    </row>
    <row r="19" spans="1:25" s="21" customFormat="1" x14ac:dyDescent="0.25">
      <c r="A19" s="22"/>
      <c r="B19" s="22"/>
      <c r="F19" s="23"/>
      <c r="G19" s="23"/>
      <c r="H19" s="23"/>
    </row>
    <row r="20" spans="1:25" s="21" customFormat="1" x14ac:dyDescent="0.25">
      <c r="A20" s="22"/>
      <c r="B20" s="22"/>
      <c r="F20" s="23"/>
      <c r="G20" s="23"/>
      <c r="H20" s="23"/>
    </row>
    <row r="21" spans="1:25" s="21" customFormat="1" x14ac:dyDescent="0.25">
      <c r="B21" s="22"/>
      <c r="F21" s="23"/>
      <c r="G21" s="23"/>
      <c r="H21" s="23"/>
    </row>
    <row r="22" spans="1:25" s="21" customFormat="1" ht="12.75" customHeight="1" x14ac:dyDescent="0.25">
      <c r="A22" s="312" t="s">
        <v>189</v>
      </c>
      <c r="B22" s="313"/>
      <c r="C22" s="313"/>
      <c r="D22" s="313"/>
      <c r="E22" s="313"/>
      <c r="F22" s="313"/>
      <c r="G22" s="313"/>
      <c r="H22" s="313"/>
      <c r="I22" s="313"/>
      <c r="J22" s="223"/>
      <c r="K22" s="223"/>
      <c r="L22" s="223"/>
      <c r="M22" s="223"/>
      <c r="N22" s="223"/>
      <c r="O22" s="223"/>
      <c r="P22" s="223"/>
      <c r="Q22" s="223"/>
      <c r="R22" s="223"/>
      <c r="S22" s="223"/>
      <c r="T22" s="223"/>
      <c r="U22" s="223"/>
      <c r="V22" s="223"/>
      <c r="W22" s="223"/>
      <c r="X22" s="223"/>
      <c r="Y22" s="223"/>
    </row>
    <row r="23" spans="1:25" s="21" customFormat="1" ht="6" customHeight="1" x14ac:dyDescent="0.25">
      <c r="A23" s="48"/>
    </row>
    <row r="24" spans="1:25" s="21" customFormat="1" ht="12.75" customHeight="1" x14ac:dyDescent="0.25">
      <c r="A24" s="284" t="s">
        <v>190</v>
      </c>
      <c r="B24" s="284"/>
      <c r="C24" s="285"/>
      <c r="D24" s="285"/>
      <c r="E24" s="285"/>
      <c r="F24" s="285"/>
      <c r="G24" s="285"/>
      <c r="H24" s="285"/>
      <c r="I24" s="285"/>
      <c r="J24" s="285"/>
      <c r="K24" s="285"/>
      <c r="L24" s="285"/>
      <c r="M24" s="285"/>
      <c r="N24" s="285"/>
      <c r="O24" s="285"/>
      <c r="P24" s="285"/>
      <c r="Q24" s="285"/>
      <c r="R24" s="285"/>
      <c r="S24" s="285"/>
      <c r="T24" s="285"/>
      <c r="U24" s="285"/>
      <c r="V24" s="285"/>
      <c r="W24" s="285"/>
      <c r="X24" s="285"/>
    </row>
    <row r="25" spans="1:25" s="21" customFormat="1" ht="6" customHeight="1" x14ac:dyDescent="0.25">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5">
      <c r="A26" s="250" t="s">
        <v>191</v>
      </c>
      <c r="B26" s="250"/>
      <c r="C26" s="251"/>
      <c r="D26" s="251"/>
      <c r="E26" s="251"/>
      <c r="F26" s="251"/>
      <c r="G26" s="251"/>
      <c r="H26" s="251"/>
      <c r="I26" s="251"/>
      <c r="J26" s="251"/>
      <c r="K26" s="251"/>
      <c r="L26" s="251"/>
      <c r="M26" s="251"/>
      <c r="N26" s="251"/>
      <c r="O26" s="251"/>
      <c r="P26" s="251"/>
      <c r="Q26" s="251"/>
      <c r="R26" s="251"/>
      <c r="S26" s="251"/>
      <c r="T26" s="251"/>
      <c r="U26" s="251"/>
      <c r="V26" s="251"/>
      <c r="W26" s="251"/>
      <c r="X26" s="251"/>
    </row>
    <row r="27" spans="1:25" s="21" customFormat="1" ht="6" customHeight="1" x14ac:dyDescent="0.25">
      <c r="A27" s="25"/>
      <c r="B27" s="25"/>
      <c r="F27" s="23"/>
      <c r="G27" s="23"/>
      <c r="H27" s="23"/>
    </row>
    <row r="28" spans="1:25" ht="12.75" customHeight="1" x14ac:dyDescent="0.25">
      <c r="A28" s="239" t="s">
        <v>177</v>
      </c>
      <c r="B28" s="241"/>
      <c r="C28" s="239" t="s">
        <v>170</v>
      </c>
      <c r="D28" s="240"/>
      <c r="E28" s="241"/>
      <c r="F28" s="239" t="s">
        <v>171</v>
      </c>
      <c r="G28" s="240"/>
      <c r="H28" s="240"/>
      <c r="I28" s="241"/>
      <c r="J28" s="239" t="s">
        <v>172</v>
      </c>
      <c r="K28" s="240"/>
      <c r="L28" s="240"/>
      <c r="M28" s="240"/>
      <c r="N28" s="240"/>
      <c r="O28" s="241"/>
      <c r="P28" s="239" t="s">
        <v>0</v>
      </c>
      <c r="Q28" s="240"/>
      <c r="R28" s="240"/>
      <c r="S28" s="240"/>
      <c r="T28" s="240"/>
      <c r="U28" s="240"/>
      <c r="V28" s="240"/>
      <c r="W28" s="240"/>
      <c r="X28" s="241"/>
    </row>
    <row r="29" spans="1:25" ht="12.75" customHeight="1" x14ac:dyDescent="0.25">
      <c r="A29" s="242"/>
      <c r="B29" s="246"/>
      <c r="C29" s="242"/>
      <c r="D29" s="243"/>
      <c r="E29" s="244"/>
      <c r="F29" s="242"/>
      <c r="G29" s="245"/>
      <c r="H29" s="245"/>
      <c r="I29" s="246"/>
      <c r="J29" s="242"/>
      <c r="K29" s="245"/>
      <c r="L29" s="245"/>
      <c r="M29" s="245"/>
      <c r="N29" s="245"/>
      <c r="O29" s="246"/>
      <c r="P29" s="242" t="s">
        <v>248</v>
      </c>
      <c r="Q29" s="245"/>
      <c r="R29" s="245"/>
      <c r="S29" s="245"/>
      <c r="T29" s="245"/>
      <c r="U29" s="245"/>
      <c r="V29" s="245"/>
      <c r="W29" s="245"/>
      <c r="X29" s="246"/>
    </row>
    <row r="30" spans="1:25" ht="6" customHeight="1" x14ac:dyDescent="0.25">
      <c r="A30" s="3"/>
      <c r="B30" s="3"/>
      <c r="C30" s="3"/>
      <c r="D30" s="3"/>
      <c r="E30" s="3"/>
      <c r="F30" s="3"/>
      <c r="G30" s="3"/>
      <c r="H30" s="3"/>
      <c r="I30" s="3"/>
      <c r="J30" s="3"/>
      <c r="K30" s="3"/>
      <c r="L30" s="3"/>
      <c r="M30" s="3"/>
      <c r="N30" s="3"/>
      <c r="O30" s="3"/>
      <c r="P30" s="3"/>
      <c r="Q30" s="3"/>
      <c r="R30" s="3"/>
      <c r="S30" s="3"/>
      <c r="T30" s="3"/>
      <c r="U30" s="3"/>
      <c r="V30" s="3"/>
    </row>
    <row r="31" spans="1:25" x14ac:dyDescent="0.25">
      <c r="A31" s="239" t="s">
        <v>173</v>
      </c>
      <c r="B31" s="240"/>
      <c r="C31" s="240"/>
      <c r="D31" s="240"/>
      <c r="E31" s="240"/>
      <c r="F31" s="241"/>
      <c r="G31" s="239" t="s">
        <v>174</v>
      </c>
      <c r="H31" s="240"/>
      <c r="I31" s="240"/>
      <c r="J31" s="241"/>
      <c r="K31" s="239" t="s">
        <v>175</v>
      </c>
      <c r="L31" s="240"/>
      <c r="M31" s="240"/>
      <c r="N31" s="240"/>
      <c r="O31" s="240"/>
      <c r="P31" s="241"/>
      <c r="Q31" s="239" t="s">
        <v>180</v>
      </c>
      <c r="R31" s="240"/>
      <c r="S31" s="240"/>
      <c r="T31" s="240"/>
      <c r="U31" s="240"/>
      <c r="V31" s="240"/>
      <c r="W31" s="240"/>
      <c r="X31" s="241"/>
    </row>
    <row r="32" spans="1:25" x14ac:dyDescent="0.25">
      <c r="A32" s="247" t="s">
        <v>230</v>
      </c>
      <c r="B32" s="248"/>
      <c r="C32" s="248"/>
      <c r="D32" s="248"/>
      <c r="E32" s="248"/>
      <c r="F32" s="249"/>
      <c r="G32" s="242" t="s">
        <v>232</v>
      </c>
      <c r="H32" s="243"/>
      <c r="I32" s="243"/>
      <c r="J32" s="244"/>
      <c r="K32" s="242" t="s">
        <v>248</v>
      </c>
      <c r="L32" s="245"/>
      <c r="M32" s="245"/>
      <c r="N32" s="245"/>
      <c r="O32" s="245"/>
      <c r="P32" s="246"/>
      <c r="Q32" s="242" t="s">
        <v>248</v>
      </c>
      <c r="R32" s="245"/>
      <c r="S32" s="245"/>
      <c r="T32" s="245"/>
      <c r="U32" s="245"/>
      <c r="V32" s="245"/>
      <c r="W32" s="245"/>
      <c r="X32" s="246"/>
    </row>
    <row r="33" spans="1:24" s="21" customFormat="1" ht="9" customHeight="1" x14ac:dyDescent="0.25">
      <c r="A33" s="22"/>
      <c r="B33" s="22"/>
      <c r="F33" s="23"/>
      <c r="G33" s="23"/>
      <c r="H33" s="23"/>
    </row>
    <row r="34" spans="1:24" s="27" customFormat="1" x14ac:dyDescent="0.25"/>
    <row r="35" spans="1:24" s="21" customFormat="1" ht="12.75" customHeight="1" x14ac:dyDescent="0.25">
      <c r="A35" s="250" t="s">
        <v>192</v>
      </c>
      <c r="B35" s="250"/>
      <c r="C35" s="251"/>
      <c r="D35" s="251"/>
      <c r="E35" s="251"/>
      <c r="F35" s="251"/>
      <c r="G35" s="251"/>
      <c r="H35" s="251"/>
      <c r="I35" s="251"/>
      <c r="J35" s="251"/>
      <c r="K35" s="251"/>
      <c r="L35" s="251"/>
      <c r="M35" s="251"/>
      <c r="N35" s="251"/>
      <c r="O35" s="251"/>
      <c r="P35" s="251"/>
      <c r="Q35" s="251"/>
      <c r="R35" s="251"/>
      <c r="S35" s="251"/>
      <c r="T35" s="251"/>
      <c r="U35" s="251"/>
      <c r="V35" s="251"/>
      <c r="W35" s="251"/>
      <c r="X35" s="251"/>
    </row>
    <row r="36" spans="1:24" s="21" customFormat="1" ht="6" customHeight="1" x14ac:dyDescent="0.25">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5">
      <c r="A37" s="239" t="s">
        <v>16</v>
      </c>
      <c r="B37" s="241"/>
      <c r="C37" s="92" t="s">
        <v>91</v>
      </c>
      <c r="D37" s="239" t="s">
        <v>14</v>
      </c>
      <c r="E37" s="240"/>
      <c r="F37" s="241"/>
      <c r="G37" s="239" t="s">
        <v>12</v>
      </c>
      <c r="H37" s="240"/>
      <c r="I37" s="240"/>
      <c r="J37" s="240"/>
      <c r="K37" s="240"/>
      <c r="L37" s="240"/>
      <c r="M37" s="240"/>
      <c r="N37" s="240"/>
      <c r="O37" s="240"/>
      <c r="P37" s="240"/>
      <c r="Q37" s="240"/>
      <c r="R37" s="240"/>
      <c r="S37" s="241"/>
      <c r="T37" s="93" t="s">
        <v>7</v>
      </c>
      <c r="U37" s="93" t="s">
        <v>8</v>
      </c>
      <c r="V37" s="93" t="s">
        <v>9</v>
      </c>
      <c r="W37" s="93" t="s">
        <v>10</v>
      </c>
      <c r="X37" s="93" t="s">
        <v>11</v>
      </c>
    </row>
    <row r="38" spans="1:24" s="21" customFormat="1" ht="12.75" customHeight="1" x14ac:dyDescent="0.25">
      <c r="A38" s="274">
        <v>45483</v>
      </c>
      <c r="B38" s="275"/>
      <c r="C38" s="91" t="s">
        <v>236</v>
      </c>
      <c r="D38" s="242" t="s">
        <v>78</v>
      </c>
      <c r="E38" s="243"/>
      <c r="F38" s="244"/>
      <c r="G38" s="242" t="s">
        <v>248</v>
      </c>
      <c r="H38" s="243"/>
      <c r="I38" s="243"/>
      <c r="J38" s="243"/>
      <c r="K38" s="243"/>
      <c r="L38" s="243"/>
      <c r="M38" s="243"/>
      <c r="N38" s="243"/>
      <c r="O38" s="243"/>
      <c r="P38" s="243"/>
      <c r="Q38" s="243"/>
      <c r="R38" s="243"/>
      <c r="S38" s="244"/>
      <c r="T38" s="95">
        <f ca="1">IF(ISERROR(INDIRECT("'BDI ("&amp;RIGHT(T37,1)&amp;")'!N27")),"",INDIRECT("'BDI ("&amp;RIGHT(T37,1)&amp;")'!N27"))</f>
        <v>0.22</v>
      </c>
      <c r="U38" s="96" t="str">
        <f ca="1">IF(ISERROR(INDIRECT("'BDI ("&amp;RIGHT(U37,1)&amp;")'!N27")),"",INDIRECT("'BDI ("&amp;RIGHT(U37,1)&amp;")'!N27"))</f>
        <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5">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5">
      <c r="A40" s="250" t="s">
        <v>162</v>
      </c>
      <c r="B40" s="250"/>
      <c r="C40" s="251"/>
      <c r="D40" s="251"/>
      <c r="E40" s="251"/>
      <c r="F40" s="251"/>
      <c r="G40" s="251"/>
      <c r="H40" s="251"/>
      <c r="I40" s="251"/>
      <c r="J40" s="251"/>
      <c r="K40" s="251"/>
      <c r="L40" s="251"/>
      <c r="M40" s="251"/>
      <c r="N40" s="251"/>
      <c r="O40" s="251"/>
      <c r="P40" s="251"/>
      <c r="Q40" s="251"/>
      <c r="R40" s="251"/>
      <c r="S40" s="251"/>
      <c r="T40" s="251"/>
      <c r="U40" s="251"/>
      <c r="V40" s="251"/>
      <c r="W40" s="251"/>
      <c r="X40" s="251"/>
    </row>
    <row r="41" spans="1:24" s="21" customFormat="1" ht="6" customHeight="1" x14ac:dyDescent="0.25">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5">
      <c r="A42" s="239" t="s">
        <v>87</v>
      </c>
      <c r="B42" s="241"/>
      <c r="C42" s="239" t="s">
        <v>111</v>
      </c>
      <c r="D42" s="240"/>
      <c r="E42" s="240"/>
      <c r="F42" s="240"/>
      <c r="G42" s="240"/>
      <c r="H42" s="239" t="s">
        <v>16</v>
      </c>
      <c r="I42" s="240"/>
      <c r="J42" s="28" t="s">
        <v>91</v>
      </c>
      <c r="K42" s="239" t="s">
        <v>88</v>
      </c>
      <c r="L42" s="240"/>
      <c r="M42" s="241"/>
      <c r="N42" s="28" t="s">
        <v>92</v>
      </c>
      <c r="O42" s="239" t="s">
        <v>93</v>
      </c>
      <c r="P42" s="240"/>
      <c r="Q42" s="240"/>
      <c r="R42" s="240"/>
      <c r="S42" s="240"/>
      <c r="T42" s="241"/>
      <c r="U42" s="293" t="s">
        <v>89</v>
      </c>
      <c r="V42" s="294"/>
      <c r="W42" s="293" t="s">
        <v>90</v>
      </c>
      <c r="X42" s="294"/>
    </row>
    <row r="43" spans="1:24" s="21" customFormat="1" ht="12.75" customHeight="1" x14ac:dyDescent="0.25">
      <c r="A43" s="308"/>
      <c r="B43" s="309"/>
      <c r="C43" s="242"/>
      <c r="D43" s="243"/>
      <c r="E43" s="243"/>
      <c r="F43" s="243"/>
      <c r="G43" s="243"/>
      <c r="H43" s="274"/>
      <c r="I43" s="275"/>
      <c r="J43" s="88"/>
      <c r="K43" s="252"/>
      <c r="L43" s="253"/>
      <c r="M43" s="254"/>
      <c r="N43" s="104"/>
      <c r="O43" s="297"/>
      <c r="P43" s="298"/>
      <c r="Q43" s="298"/>
      <c r="R43" s="299"/>
      <c r="S43" s="299"/>
      <c r="T43" s="300"/>
      <c r="U43" s="295"/>
      <c r="V43" s="301"/>
      <c r="W43" s="295"/>
      <c r="X43" s="296"/>
    </row>
    <row r="44" spans="1:24" s="21" customFormat="1" ht="12.75" customHeight="1" x14ac:dyDescent="0.25">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5">
      <c r="A45" s="250" t="s">
        <v>193</v>
      </c>
      <c r="B45" s="250"/>
      <c r="C45" s="251"/>
      <c r="D45" s="251"/>
      <c r="E45" s="251"/>
      <c r="F45" s="251"/>
      <c r="G45" s="251"/>
      <c r="H45" s="251"/>
      <c r="I45" s="251"/>
      <c r="J45" s="251"/>
      <c r="K45" s="251"/>
      <c r="L45" s="251"/>
      <c r="M45" s="251"/>
      <c r="N45" s="251"/>
      <c r="O45" s="251"/>
      <c r="P45" s="251"/>
      <c r="Q45" s="251"/>
      <c r="R45" s="251"/>
      <c r="S45" s="251"/>
      <c r="T45" s="251"/>
      <c r="U45" s="251"/>
      <c r="V45" s="251"/>
      <c r="W45" s="251"/>
      <c r="X45" s="251"/>
    </row>
    <row r="46" spans="1:24" s="21" customFormat="1" ht="6" customHeight="1" x14ac:dyDescent="0.25">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5">
      <c r="A47" s="28" t="s">
        <v>15</v>
      </c>
      <c r="B47" s="29"/>
      <c r="C47" s="30"/>
    </row>
    <row r="48" spans="1:24" s="21" customFormat="1" x14ac:dyDescent="0.25">
      <c r="A48" s="278">
        <v>45689</v>
      </c>
      <c r="B48" s="279"/>
      <c r="C48" s="280"/>
      <c r="E48" s="37"/>
    </row>
    <row r="49" spans="1:24" s="21" customFormat="1" x14ac:dyDescent="0.25">
      <c r="A49" s="22"/>
      <c r="B49" s="22"/>
      <c r="F49" s="33"/>
      <c r="G49" s="34"/>
      <c r="H49" s="35"/>
    </row>
    <row r="50" spans="1:24" s="21" customFormat="1" x14ac:dyDescent="0.25">
      <c r="A50" s="250" t="s">
        <v>194</v>
      </c>
      <c r="B50" s="250"/>
      <c r="C50" s="251"/>
      <c r="D50" s="251"/>
      <c r="E50" s="251"/>
      <c r="F50" s="251"/>
      <c r="G50" s="251"/>
      <c r="H50" s="251"/>
      <c r="I50" s="251"/>
      <c r="J50" s="251"/>
      <c r="K50" s="251"/>
      <c r="L50" s="251"/>
      <c r="M50" s="251"/>
      <c r="N50" s="251"/>
      <c r="O50" s="251"/>
      <c r="P50" s="251"/>
      <c r="Q50" s="251"/>
      <c r="R50" s="251"/>
      <c r="S50" s="251"/>
      <c r="T50" s="251"/>
      <c r="U50" s="251"/>
      <c r="V50" s="251"/>
      <c r="W50" s="251"/>
      <c r="X50" s="251"/>
    </row>
    <row r="51" spans="1:24" s="21" customFormat="1" x14ac:dyDescent="0.25">
      <c r="A51" s="26"/>
      <c r="B51" s="26"/>
      <c r="C51" s="32"/>
      <c r="D51" s="32"/>
      <c r="E51" s="32"/>
      <c r="F51" s="32"/>
      <c r="G51" s="32"/>
      <c r="H51" s="32"/>
      <c r="I51" s="32"/>
      <c r="J51" s="32"/>
      <c r="K51" s="32"/>
      <c r="L51" s="32"/>
      <c r="M51"/>
      <c r="N51"/>
      <c r="O51"/>
      <c r="P51"/>
      <c r="Q51"/>
      <c r="R51"/>
      <c r="S51"/>
      <c r="T51"/>
      <c r="U51"/>
      <c r="V51"/>
      <c r="W51"/>
      <c r="X51"/>
    </row>
    <row r="52" spans="1:24" s="21" customFormat="1" x14ac:dyDescent="0.25">
      <c r="A52" s="26"/>
      <c r="B52" s="26"/>
      <c r="C52" s="32"/>
      <c r="D52" s="32"/>
      <c r="E52" s="32"/>
      <c r="F52" s="32"/>
      <c r="G52" s="8" t="s">
        <v>18</v>
      </c>
      <c r="H52" s="32"/>
      <c r="I52" s="32"/>
      <c r="K52" s="86" t="s">
        <v>229</v>
      </c>
      <c r="L52" s="32"/>
      <c r="M52"/>
      <c r="N52"/>
      <c r="O52"/>
      <c r="P52"/>
      <c r="Q52"/>
      <c r="R52"/>
      <c r="S52"/>
      <c r="T52"/>
      <c r="U52"/>
      <c r="V52"/>
      <c r="W52"/>
      <c r="X52"/>
    </row>
    <row r="53" spans="1:24" s="21" customFormat="1" x14ac:dyDescent="0.25">
      <c r="A53" s="39"/>
      <c r="B53" s="39"/>
      <c r="C53" s="40"/>
      <c r="D53" s="40"/>
      <c r="E53" s="40"/>
      <c r="F53" s="33"/>
      <c r="G53" s="39"/>
      <c r="H53" s="39"/>
      <c r="I53" s="40"/>
      <c r="J53" s="40"/>
      <c r="K53" s="40"/>
      <c r="L53" s="2"/>
      <c r="M53"/>
      <c r="N53"/>
      <c r="O53"/>
      <c r="P53"/>
      <c r="Q53"/>
      <c r="R53"/>
      <c r="S53"/>
      <c r="T53"/>
      <c r="U53"/>
      <c r="V53"/>
      <c r="W53"/>
      <c r="X53"/>
    </row>
    <row r="54" spans="1:24" s="21" customFormat="1" x14ac:dyDescent="0.25">
      <c r="A54" s="101" t="s">
        <v>140</v>
      </c>
      <c r="B54" s="282"/>
      <c r="C54" s="283"/>
      <c r="D54" s="283"/>
      <c r="E54" s="283"/>
      <c r="F54" s="33"/>
      <c r="G54" s="101" t="s">
        <v>140</v>
      </c>
      <c r="H54" s="283"/>
      <c r="I54" s="283"/>
      <c r="J54" s="283"/>
      <c r="K54" s="283"/>
      <c r="L54" s="2"/>
      <c r="M54"/>
      <c r="N54"/>
      <c r="O54"/>
      <c r="P54"/>
      <c r="Q54"/>
      <c r="R54"/>
      <c r="S54"/>
      <c r="T54"/>
      <c r="U54"/>
      <c r="V54"/>
      <c r="W54"/>
      <c r="X54"/>
    </row>
    <row r="55" spans="1:24" s="21" customFormat="1" x14ac:dyDescent="0.25">
      <c r="A55" s="101" t="str">
        <f>IF(OR(TipoOrçamento="BASE",TipoOrçamento="REPROGRAMADONPL"),"Título:","Cargo:")</f>
        <v>Cargo:</v>
      </c>
      <c r="B55" s="282"/>
      <c r="C55" s="283"/>
      <c r="D55" s="283"/>
      <c r="E55" s="283"/>
      <c r="F55" s="33"/>
      <c r="G55" s="101" t="str">
        <f>A55</f>
        <v>Cargo:</v>
      </c>
      <c r="H55" s="283"/>
      <c r="I55" s="283"/>
      <c r="J55" s="283"/>
      <c r="K55" s="283"/>
      <c r="L55" s="2"/>
      <c r="M55"/>
      <c r="N55"/>
      <c r="O55"/>
      <c r="P55"/>
      <c r="Q55"/>
      <c r="R55"/>
      <c r="S55"/>
      <c r="T55"/>
      <c r="U55"/>
      <c r="V55"/>
      <c r="W55"/>
      <c r="X55"/>
    </row>
    <row r="56" spans="1:24" s="21" customFormat="1" x14ac:dyDescent="0.25">
      <c r="A56" s="101" t="str">
        <f>IF(OR(TipoOrçamento="BASE",TipoOrçamento="REPROGRAMADONPL"),"CREA/CAU:","Empresa:")</f>
        <v>Empresa:</v>
      </c>
      <c r="B56" s="288"/>
      <c r="C56" s="281"/>
      <c r="D56" s="281"/>
      <c r="E56" s="281"/>
      <c r="F56" s="33"/>
      <c r="G56" s="101" t="str">
        <f>A56</f>
        <v>Empresa:</v>
      </c>
      <c r="H56" s="281"/>
      <c r="I56" s="281"/>
      <c r="J56" s="281"/>
      <c r="K56" s="281"/>
      <c r="L56" s="2"/>
      <c r="M56"/>
      <c r="N56"/>
      <c r="O56"/>
      <c r="P56"/>
      <c r="Q56"/>
      <c r="R56"/>
      <c r="S56"/>
      <c r="T56"/>
      <c r="U56"/>
      <c r="V56"/>
      <c r="W56"/>
      <c r="X56"/>
    </row>
    <row r="57" spans="1:24" s="21" customFormat="1" x14ac:dyDescent="0.25">
      <c r="A57" s="101" t="str">
        <f>IF(OR(TipoOrçamento="BASE",TipoOrçamento="REPROGRAMADONPL"),"ART/RRT:","CNPJ:")</f>
        <v>CNPJ:</v>
      </c>
      <c r="B57" s="288"/>
      <c r="C57" s="281"/>
      <c r="D57" s="281"/>
      <c r="E57" s="281"/>
      <c r="F57" s="33"/>
      <c r="G57" s="101" t="str">
        <f>A57</f>
        <v>CNPJ:</v>
      </c>
      <c r="H57" s="281"/>
      <c r="I57" s="281"/>
      <c r="J57" s="281"/>
      <c r="K57" s="281"/>
      <c r="L57" s="2"/>
      <c r="M57"/>
      <c r="N57"/>
      <c r="O57"/>
      <c r="P57"/>
      <c r="Q57"/>
      <c r="R57"/>
      <c r="S57"/>
      <c r="T57"/>
      <c r="U57"/>
      <c r="V57"/>
      <c r="W57"/>
      <c r="X57"/>
    </row>
    <row r="58" spans="1:24" s="21" customFormat="1" x14ac:dyDescent="0.25">
      <c r="A58" s="22"/>
      <c r="B58" s="22"/>
      <c r="F58" s="33"/>
      <c r="G58" s="34"/>
      <c r="H58" s="35"/>
      <c r="M58"/>
      <c r="N58"/>
      <c r="O58"/>
      <c r="P58"/>
      <c r="Q58"/>
      <c r="R58"/>
      <c r="S58"/>
      <c r="T58"/>
      <c r="U58"/>
      <c r="V58"/>
      <c r="W58"/>
      <c r="X58"/>
    </row>
    <row r="59" spans="1:24" s="21" customFormat="1" x14ac:dyDescent="0.25">
      <c r="A59" s="22"/>
      <c r="B59" s="22"/>
      <c r="F59" s="33"/>
      <c r="G59" s="34"/>
      <c r="H59" s="35"/>
      <c r="M59"/>
      <c r="N59"/>
      <c r="O59"/>
      <c r="P59"/>
      <c r="Q59"/>
      <c r="R59"/>
      <c r="S59"/>
      <c r="T59"/>
      <c r="U59"/>
      <c r="V59"/>
      <c r="W59"/>
      <c r="X59"/>
    </row>
    <row r="60" spans="1:24" s="21" customFormat="1" ht="12.75" customHeight="1" x14ac:dyDescent="0.25">
      <c r="A60" s="284" t="s">
        <v>195</v>
      </c>
      <c r="B60" s="284"/>
      <c r="C60" s="285"/>
      <c r="D60" s="285"/>
      <c r="E60" s="285"/>
      <c r="F60" s="285"/>
      <c r="G60" s="285"/>
      <c r="H60" s="285"/>
      <c r="I60" s="285"/>
      <c r="J60" s="285"/>
      <c r="K60" s="285"/>
      <c r="L60" s="285"/>
      <c r="M60" s="285"/>
      <c r="N60" s="285"/>
      <c r="O60" s="285"/>
      <c r="P60" s="285"/>
      <c r="Q60" s="285"/>
      <c r="R60" s="285"/>
      <c r="S60" s="285"/>
      <c r="T60" s="285"/>
      <c r="U60" s="285"/>
      <c r="V60" s="285"/>
      <c r="W60" s="285"/>
      <c r="X60" s="285"/>
    </row>
    <row r="61" spans="1:24" s="21" customFormat="1" x14ac:dyDescent="0.25">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5">
      <c r="A62" s="286" t="s">
        <v>196</v>
      </c>
      <c r="B62" s="310"/>
      <c r="C62" s="311"/>
      <c r="D62" s="311"/>
      <c r="E62" s="311"/>
      <c r="F62" s="311"/>
      <c r="G62" s="311"/>
      <c r="H62" s="311"/>
      <c r="I62" s="311"/>
      <c r="J62" s="311"/>
      <c r="K62" s="311"/>
      <c r="L62" s="311"/>
      <c r="M62" s="311"/>
      <c r="N62" s="311"/>
      <c r="O62" s="311"/>
      <c r="P62" s="311"/>
      <c r="Q62" s="311"/>
      <c r="R62" s="311"/>
      <c r="S62" s="311"/>
      <c r="T62" s="311"/>
      <c r="U62" s="311"/>
      <c r="V62" s="311"/>
      <c r="W62" s="311"/>
      <c r="X62" s="311"/>
    </row>
    <row r="63" spans="1:24" s="21" customFormat="1" ht="30" customHeight="1" x14ac:dyDescent="0.25">
      <c r="A63" s="286" t="s">
        <v>197</v>
      </c>
      <c r="B63" s="286"/>
      <c r="C63" s="287"/>
      <c r="D63" s="287"/>
      <c r="E63" s="287"/>
      <c r="F63" s="287"/>
      <c r="G63" s="287"/>
      <c r="H63" s="287"/>
      <c r="I63" s="287"/>
      <c r="J63" s="287"/>
      <c r="K63" s="287"/>
      <c r="L63" s="287"/>
      <c r="M63" s="287"/>
      <c r="N63" s="287"/>
      <c r="O63" s="287"/>
      <c r="P63" s="287"/>
      <c r="Q63" s="287"/>
      <c r="R63" s="287"/>
      <c r="S63" s="287"/>
      <c r="T63" s="287"/>
      <c r="U63" s="287"/>
      <c r="V63" s="287"/>
      <c r="W63" s="287"/>
      <c r="X63" s="287"/>
    </row>
    <row r="64" spans="1:24" s="21" customFormat="1" x14ac:dyDescent="0.25">
      <c r="A64" s="22"/>
      <c r="B64" s="22"/>
      <c r="F64" s="33"/>
      <c r="G64" s="34"/>
      <c r="H64" s="35"/>
      <c r="M64"/>
      <c r="N64"/>
      <c r="O64"/>
      <c r="P64"/>
      <c r="Q64"/>
      <c r="R64"/>
      <c r="S64"/>
      <c r="T64"/>
      <c r="U64"/>
      <c r="V64"/>
      <c r="W64"/>
      <c r="X64"/>
    </row>
    <row r="65" spans="1:24" s="21" customFormat="1" ht="12.75" customHeight="1" x14ac:dyDescent="0.25">
      <c r="A65" s="284" t="s">
        <v>198</v>
      </c>
      <c r="B65" s="284"/>
      <c r="C65" s="285"/>
      <c r="D65" s="285"/>
      <c r="E65" s="285"/>
      <c r="F65" s="285"/>
      <c r="G65" s="285"/>
      <c r="H65" s="285"/>
      <c r="I65" s="285"/>
      <c r="J65" s="285"/>
      <c r="K65" s="285"/>
      <c r="L65" s="285"/>
      <c r="M65" s="285"/>
      <c r="N65" s="285"/>
      <c r="O65" s="285"/>
      <c r="P65" s="285"/>
      <c r="Q65" s="285"/>
      <c r="R65" s="285"/>
      <c r="S65" s="285"/>
      <c r="T65" s="285"/>
      <c r="U65" s="285"/>
      <c r="V65" s="285"/>
      <c r="W65" s="285"/>
      <c r="X65" s="285"/>
    </row>
    <row r="66" spans="1:24" s="21" customFormat="1" x14ac:dyDescent="0.25">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5">
      <c r="A67" s="250" t="s">
        <v>199</v>
      </c>
      <c r="B67" s="250"/>
      <c r="C67" s="251"/>
      <c r="D67" s="251"/>
      <c r="E67" s="251"/>
      <c r="F67" s="251"/>
      <c r="G67" s="251"/>
      <c r="H67" s="251"/>
      <c r="I67" s="251"/>
      <c r="J67" s="251"/>
      <c r="K67" s="251"/>
      <c r="L67" s="251"/>
      <c r="M67" s="251"/>
      <c r="N67" s="251"/>
      <c r="O67" s="251"/>
      <c r="P67" s="251"/>
      <c r="Q67" s="251"/>
      <c r="R67" s="251"/>
      <c r="S67" s="251"/>
      <c r="T67" s="251"/>
      <c r="U67" s="251"/>
      <c r="V67" s="251"/>
      <c r="W67" s="251"/>
      <c r="X67" s="251"/>
    </row>
    <row r="68" spans="1:24" s="21" customFormat="1" x14ac:dyDescent="0.25">
      <c r="A68" s="250" t="s">
        <v>200</v>
      </c>
      <c r="B68" s="250"/>
      <c r="C68" s="251"/>
      <c r="D68" s="251"/>
      <c r="E68" s="251"/>
      <c r="F68" s="251"/>
      <c r="G68" s="251"/>
      <c r="H68" s="251"/>
      <c r="I68" s="251"/>
      <c r="J68" s="251"/>
      <c r="K68" s="251"/>
      <c r="L68" s="251"/>
      <c r="M68" s="251"/>
      <c r="N68" s="251"/>
      <c r="O68" s="251"/>
      <c r="P68" s="251"/>
      <c r="Q68" s="251"/>
      <c r="R68" s="251"/>
      <c r="S68" s="251"/>
      <c r="T68" s="251"/>
      <c r="U68" s="251"/>
      <c r="V68" s="251"/>
      <c r="W68" s="251"/>
      <c r="X68" s="251"/>
    </row>
    <row r="69" spans="1:24" s="21" customFormat="1" ht="12.75" customHeight="1" x14ac:dyDescent="0.25">
      <c r="A69" s="250" t="s">
        <v>201</v>
      </c>
      <c r="B69" s="250"/>
      <c r="C69" s="251"/>
      <c r="D69" s="251"/>
      <c r="E69" s="251"/>
      <c r="F69" s="251"/>
      <c r="G69" s="251"/>
      <c r="H69" s="251"/>
      <c r="I69" s="251"/>
      <c r="J69" s="251"/>
      <c r="K69" s="251"/>
      <c r="L69" s="251"/>
      <c r="M69" s="251"/>
      <c r="N69" s="251"/>
      <c r="O69" s="251"/>
      <c r="P69" s="251"/>
      <c r="Q69" s="251"/>
      <c r="R69" s="251"/>
      <c r="S69" s="251"/>
      <c r="T69" s="251"/>
      <c r="U69" s="251"/>
      <c r="V69" s="251"/>
      <c r="W69" s="251"/>
      <c r="X69" s="251"/>
    </row>
    <row r="70" spans="1:24" s="21" customFormat="1" ht="12.75" customHeight="1" x14ac:dyDescent="0.25">
      <c r="A70" s="250" t="s">
        <v>202</v>
      </c>
      <c r="B70" s="250"/>
      <c r="C70" s="251"/>
      <c r="D70" s="251"/>
      <c r="E70" s="251"/>
      <c r="F70" s="251"/>
      <c r="G70" s="251"/>
      <c r="H70" s="251"/>
      <c r="I70" s="251"/>
      <c r="J70" s="251"/>
      <c r="K70" s="251"/>
      <c r="L70" s="251"/>
      <c r="M70" s="251"/>
      <c r="N70" s="251"/>
      <c r="O70" s="251"/>
      <c r="P70" s="251"/>
      <c r="Q70" s="251"/>
      <c r="R70" s="251"/>
      <c r="S70" s="251"/>
      <c r="T70" s="251"/>
      <c r="U70" s="251"/>
      <c r="V70" s="251"/>
      <c r="W70" s="251"/>
      <c r="X70" s="251"/>
    </row>
    <row r="71" spans="1:24" s="21" customFormat="1" ht="12.75" customHeight="1" x14ac:dyDescent="0.25">
      <c r="A71" s="250" t="s">
        <v>203</v>
      </c>
      <c r="B71" s="250"/>
      <c r="C71" s="251"/>
      <c r="D71" s="251"/>
      <c r="E71" s="251"/>
      <c r="F71" s="251"/>
      <c r="G71" s="251"/>
      <c r="H71" s="251"/>
      <c r="I71" s="251"/>
      <c r="J71" s="251"/>
      <c r="K71" s="251"/>
      <c r="L71" s="251"/>
      <c r="M71" s="251"/>
      <c r="N71" s="251"/>
      <c r="O71" s="251"/>
      <c r="P71" s="251"/>
      <c r="Q71" s="251"/>
      <c r="R71" s="251"/>
      <c r="S71" s="251"/>
      <c r="T71" s="251"/>
      <c r="U71" s="251"/>
      <c r="V71" s="251"/>
      <c r="W71" s="251"/>
      <c r="X71" s="251"/>
    </row>
    <row r="72" spans="1:24" s="21" customFormat="1" ht="12.75" customHeight="1" x14ac:dyDescent="0.25">
      <c r="A72" s="250" t="s">
        <v>204</v>
      </c>
      <c r="B72" s="250"/>
      <c r="C72" s="251"/>
      <c r="D72" s="251"/>
      <c r="E72" s="251"/>
      <c r="F72" s="251"/>
      <c r="G72" s="251"/>
      <c r="H72" s="251"/>
      <c r="I72" s="251"/>
      <c r="J72" s="251"/>
      <c r="K72" s="251"/>
      <c r="L72" s="251"/>
      <c r="M72" s="251"/>
      <c r="N72" s="251"/>
      <c r="O72" s="251"/>
      <c r="P72" s="251"/>
      <c r="Q72" s="251"/>
      <c r="R72" s="251"/>
      <c r="S72" s="251"/>
      <c r="T72" s="251"/>
      <c r="U72" s="251"/>
      <c r="V72" s="251"/>
      <c r="W72" s="251"/>
      <c r="X72" s="251"/>
    </row>
    <row r="73" spans="1:24" s="21" customFormat="1" x14ac:dyDescent="0.25">
      <c r="A73" s="22"/>
      <c r="B73" s="22"/>
      <c r="F73" s="33"/>
      <c r="G73" s="34"/>
      <c r="H73" s="35"/>
    </row>
    <row r="74" spans="1:24" s="21" customFormat="1" ht="12.75" customHeight="1" x14ac:dyDescent="0.25">
      <c r="A74" s="284" t="s">
        <v>205</v>
      </c>
      <c r="B74" s="284"/>
      <c r="C74" s="285"/>
      <c r="D74" s="285"/>
      <c r="E74" s="285"/>
      <c r="F74" s="285"/>
      <c r="G74" s="285"/>
      <c r="H74" s="285"/>
      <c r="I74" s="285"/>
      <c r="J74" s="285"/>
      <c r="K74" s="285"/>
      <c r="L74" s="285"/>
      <c r="M74" s="285"/>
      <c r="N74" s="285"/>
      <c r="O74" s="285"/>
      <c r="P74" s="285"/>
      <c r="Q74" s="285"/>
      <c r="R74" s="285"/>
      <c r="S74" s="285"/>
      <c r="T74" s="285"/>
      <c r="U74" s="285"/>
      <c r="V74" s="285"/>
      <c r="W74" s="285"/>
      <c r="X74" s="285"/>
    </row>
    <row r="75" spans="1:24" s="21" customFormat="1" x14ac:dyDescent="0.25">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5">
      <c r="A76" s="250" t="s">
        <v>206</v>
      </c>
      <c r="B76" s="250"/>
      <c r="C76" s="251"/>
      <c r="D76" s="251"/>
      <c r="E76" s="251"/>
      <c r="F76" s="251"/>
      <c r="G76" s="251"/>
      <c r="H76" s="251"/>
      <c r="I76" s="251"/>
      <c r="J76" s="251"/>
      <c r="K76" s="251"/>
      <c r="L76" s="251"/>
      <c r="M76" s="251"/>
      <c r="N76" s="251"/>
      <c r="O76" s="251"/>
      <c r="P76" s="251"/>
      <c r="Q76" s="251"/>
      <c r="R76" s="251"/>
      <c r="S76" s="251"/>
      <c r="T76" s="251"/>
      <c r="U76" s="251"/>
      <c r="V76" s="251"/>
      <c r="W76" s="251"/>
      <c r="X76" s="251"/>
    </row>
    <row r="77" spans="1:24" s="21" customFormat="1" ht="26.1" customHeight="1" x14ac:dyDescent="0.25">
      <c r="A77" s="261" t="s">
        <v>207</v>
      </c>
      <c r="B77" s="261"/>
      <c r="C77" s="262"/>
      <c r="D77" s="262"/>
      <c r="E77" s="262"/>
      <c r="F77" s="262"/>
      <c r="G77" s="262"/>
      <c r="H77" s="262"/>
      <c r="I77" s="262"/>
      <c r="J77" s="262"/>
      <c r="K77" s="262"/>
      <c r="L77" s="262"/>
      <c r="M77" s="262"/>
      <c r="N77" s="262"/>
      <c r="O77" s="262"/>
      <c r="P77" s="262"/>
      <c r="Q77" s="262"/>
      <c r="R77" s="262"/>
      <c r="S77" s="262"/>
      <c r="T77" s="262"/>
      <c r="U77" s="262"/>
      <c r="V77" s="262"/>
      <c r="W77" s="262"/>
      <c r="X77" s="262"/>
    </row>
    <row r="78" spans="1:24" s="21" customFormat="1" ht="12.75" customHeight="1" x14ac:dyDescent="0.25">
      <c r="A78" s="250" t="s">
        <v>208</v>
      </c>
      <c r="B78" s="250"/>
      <c r="C78" s="251"/>
      <c r="D78" s="251"/>
      <c r="E78" s="251"/>
      <c r="F78" s="251"/>
      <c r="G78" s="251"/>
      <c r="H78" s="251"/>
      <c r="I78" s="251"/>
      <c r="J78" s="251"/>
      <c r="K78" s="251"/>
      <c r="L78" s="251"/>
      <c r="M78" s="251"/>
      <c r="N78" s="251"/>
      <c r="O78" s="251"/>
      <c r="P78" s="251"/>
      <c r="Q78" s="251"/>
      <c r="R78" s="251"/>
      <c r="S78" s="251"/>
      <c r="T78" s="251"/>
      <c r="U78" s="251"/>
      <c r="V78" s="251"/>
      <c r="W78" s="251"/>
      <c r="X78" s="251"/>
    </row>
    <row r="79" spans="1:24" s="21" customFormat="1" ht="25.5" customHeight="1" x14ac:dyDescent="0.25">
      <c r="A79" s="250" t="s">
        <v>209</v>
      </c>
      <c r="B79" s="250"/>
      <c r="C79" s="251"/>
      <c r="D79" s="251"/>
      <c r="E79" s="251"/>
      <c r="F79" s="251"/>
      <c r="G79" s="251"/>
      <c r="H79" s="251"/>
      <c r="I79" s="251"/>
      <c r="J79" s="251"/>
      <c r="K79" s="251"/>
      <c r="L79" s="251"/>
      <c r="M79" s="251"/>
      <c r="N79" s="251"/>
      <c r="O79" s="251"/>
      <c r="P79" s="251"/>
      <c r="Q79" s="251"/>
      <c r="R79" s="251"/>
      <c r="S79" s="251"/>
      <c r="T79" s="251"/>
      <c r="U79" s="251"/>
      <c r="V79" s="251"/>
      <c r="W79" s="251"/>
      <c r="X79" s="251"/>
    </row>
    <row r="80" spans="1:24" s="21" customFormat="1" x14ac:dyDescent="0.25">
      <c r="A80" s="261" t="s">
        <v>210</v>
      </c>
      <c r="B80" s="261"/>
      <c r="C80" s="262"/>
      <c r="D80" s="262"/>
      <c r="E80" s="262"/>
      <c r="F80" s="262"/>
      <c r="G80" s="262"/>
      <c r="H80" s="262"/>
      <c r="I80" s="262"/>
      <c r="J80" s="262"/>
      <c r="K80" s="262"/>
      <c r="L80" s="262"/>
      <c r="M80" s="262"/>
      <c r="N80" s="262"/>
      <c r="O80" s="262"/>
      <c r="P80" s="262"/>
      <c r="Q80" s="262"/>
      <c r="R80" s="262"/>
      <c r="S80" s="262"/>
      <c r="T80" s="262"/>
      <c r="U80" s="262"/>
      <c r="V80" s="262"/>
      <c r="W80" s="262"/>
      <c r="X80" s="262"/>
    </row>
    <row r="81" spans="1:24" ht="12.75" customHeight="1" x14ac:dyDescent="0.25">
      <c r="A81" s="250" t="s">
        <v>211</v>
      </c>
      <c r="B81" s="250"/>
      <c r="C81" s="251"/>
      <c r="D81" s="251"/>
      <c r="E81" s="251"/>
      <c r="F81" s="251"/>
      <c r="G81" s="251"/>
      <c r="H81" s="251"/>
      <c r="I81" s="251"/>
      <c r="J81" s="251"/>
      <c r="K81" s="251"/>
      <c r="L81" s="251"/>
      <c r="M81" s="251"/>
      <c r="N81" s="251"/>
      <c r="O81" s="251"/>
      <c r="P81" s="251"/>
      <c r="Q81" s="251"/>
      <c r="R81" s="251"/>
      <c r="S81" s="251"/>
      <c r="T81" s="251"/>
      <c r="U81" s="251"/>
      <c r="V81" s="251"/>
      <c r="W81" s="251"/>
      <c r="X81" s="251"/>
    </row>
    <row r="82" spans="1:24" ht="26.1" customHeight="1" x14ac:dyDescent="0.25">
      <c r="A82" s="250" t="s">
        <v>212</v>
      </c>
      <c r="B82" s="250"/>
      <c r="C82" s="251"/>
      <c r="D82" s="251"/>
      <c r="E82" s="251"/>
      <c r="F82" s="251"/>
      <c r="G82" s="251"/>
      <c r="H82" s="251"/>
      <c r="I82" s="251"/>
      <c r="J82" s="251"/>
      <c r="K82" s="251"/>
      <c r="L82" s="251"/>
      <c r="M82" s="251"/>
      <c r="N82" s="251"/>
      <c r="O82" s="251"/>
      <c r="P82" s="251"/>
      <c r="Q82" s="251"/>
      <c r="R82" s="251"/>
      <c r="S82" s="251"/>
      <c r="T82" s="251"/>
      <c r="U82" s="251"/>
      <c r="V82" s="251"/>
      <c r="W82" s="251"/>
      <c r="X82" s="251"/>
    </row>
    <row r="83" spans="1:24" s="21" customFormat="1" ht="26.1" customHeight="1" x14ac:dyDescent="0.25">
      <c r="A83" s="250" t="s">
        <v>213</v>
      </c>
      <c r="B83" s="250"/>
      <c r="C83" s="251"/>
      <c r="D83" s="251"/>
      <c r="E83" s="251"/>
      <c r="F83" s="251"/>
      <c r="G83" s="251"/>
      <c r="H83" s="251"/>
      <c r="I83" s="251"/>
      <c r="J83" s="251"/>
      <c r="K83" s="251"/>
      <c r="L83" s="251"/>
      <c r="M83" s="251"/>
      <c r="N83" s="251"/>
      <c r="O83" s="251"/>
      <c r="P83" s="251"/>
      <c r="Q83" s="251"/>
      <c r="R83" s="251"/>
      <c r="S83" s="251"/>
      <c r="T83" s="251"/>
      <c r="U83" s="251"/>
      <c r="V83" s="251"/>
      <c r="W83" s="251"/>
      <c r="X83" s="251"/>
    </row>
    <row r="84" spans="1:24" s="21" customFormat="1" ht="12.75" customHeight="1" x14ac:dyDescent="0.25">
      <c r="A84" s="250" t="s">
        <v>214</v>
      </c>
      <c r="B84" s="250"/>
      <c r="C84" s="251"/>
      <c r="D84" s="251"/>
      <c r="E84" s="251"/>
      <c r="F84" s="251"/>
      <c r="G84" s="251"/>
      <c r="H84" s="251"/>
      <c r="I84" s="251"/>
      <c r="J84" s="251"/>
      <c r="K84" s="251"/>
      <c r="L84" s="251"/>
      <c r="M84" s="251"/>
      <c r="N84" s="251"/>
      <c r="O84" s="251"/>
      <c r="P84" s="251"/>
      <c r="Q84" s="251"/>
      <c r="R84" s="251"/>
      <c r="S84" s="251"/>
      <c r="T84" s="251"/>
      <c r="U84" s="251"/>
      <c r="V84" s="251"/>
      <c r="W84" s="251"/>
      <c r="X84" s="251"/>
    </row>
    <row r="85" spans="1:24" s="21" customFormat="1" x14ac:dyDescent="0.25">
      <c r="A85" s="250" t="s">
        <v>215</v>
      </c>
      <c r="B85" s="250"/>
      <c r="C85" s="251"/>
      <c r="D85" s="251"/>
      <c r="E85" s="251"/>
      <c r="F85" s="251"/>
      <c r="G85" s="251"/>
      <c r="H85" s="251"/>
      <c r="I85" s="251"/>
      <c r="J85" s="251"/>
      <c r="K85" s="251"/>
      <c r="L85" s="251"/>
      <c r="M85" s="251"/>
      <c r="N85" s="251"/>
      <c r="O85" s="251"/>
      <c r="P85" s="251"/>
      <c r="Q85" s="251"/>
      <c r="R85" s="251"/>
      <c r="S85" s="251"/>
      <c r="T85" s="251"/>
      <c r="U85" s="251"/>
      <c r="V85" s="251"/>
      <c r="W85" s="251"/>
      <c r="X85" s="251"/>
    </row>
    <row r="86" spans="1:24" ht="12.75" customHeight="1" x14ac:dyDescent="0.25">
      <c r="A86" s="261" t="s">
        <v>216</v>
      </c>
      <c r="B86" s="261"/>
      <c r="C86" s="262"/>
      <c r="D86" s="262"/>
      <c r="E86" s="262"/>
      <c r="F86" s="262"/>
      <c r="G86" s="262"/>
      <c r="H86" s="262"/>
      <c r="I86" s="262"/>
      <c r="J86" s="262"/>
      <c r="K86" s="262"/>
      <c r="L86" s="262"/>
      <c r="M86" s="262"/>
      <c r="N86" s="262"/>
      <c r="O86" s="262"/>
      <c r="P86" s="262"/>
      <c r="Q86" s="262"/>
      <c r="R86" s="262"/>
      <c r="S86" s="262"/>
      <c r="T86" s="262"/>
      <c r="U86" s="262"/>
      <c r="V86" s="262"/>
      <c r="W86" s="262"/>
      <c r="X86" s="262"/>
    </row>
    <row r="87" spans="1:24" x14ac:dyDescent="0.25">
      <c r="A87" s="250" t="s">
        <v>217</v>
      </c>
      <c r="B87" s="250"/>
      <c r="C87" s="251"/>
      <c r="D87" s="251"/>
      <c r="E87" s="251"/>
      <c r="F87" s="251"/>
      <c r="G87" s="251"/>
      <c r="H87" s="251"/>
      <c r="I87" s="251"/>
      <c r="J87" s="251"/>
      <c r="K87" s="251"/>
      <c r="L87" s="251"/>
      <c r="M87" s="251"/>
      <c r="N87" s="251"/>
      <c r="O87" s="251"/>
      <c r="P87" s="251"/>
      <c r="Q87" s="251"/>
      <c r="R87" s="251"/>
      <c r="S87" s="251"/>
      <c r="T87" s="251"/>
      <c r="U87" s="251"/>
      <c r="V87" s="251"/>
      <c r="W87" s="251"/>
      <c r="X87" s="251"/>
    </row>
    <row r="88" spans="1:24" x14ac:dyDescent="0.25">
      <c r="A88" s="250" t="s">
        <v>218</v>
      </c>
      <c r="B88" s="250"/>
      <c r="C88" s="251"/>
      <c r="D88" s="251"/>
      <c r="E88" s="251"/>
      <c r="F88" s="251"/>
      <c r="G88" s="251"/>
      <c r="H88" s="251"/>
      <c r="I88" s="251"/>
      <c r="J88" s="251"/>
      <c r="K88" s="251"/>
      <c r="L88" s="251"/>
      <c r="M88" s="251"/>
      <c r="N88" s="251"/>
      <c r="O88" s="251"/>
      <c r="P88" s="251"/>
      <c r="Q88" s="251"/>
      <c r="R88" s="251"/>
      <c r="S88" s="251"/>
      <c r="T88" s="251"/>
      <c r="U88" s="251"/>
      <c r="V88" s="251"/>
      <c r="W88" s="251"/>
      <c r="X88" s="251"/>
    </row>
    <row r="90" spans="1:24" x14ac:dyDescent="0.25">
      <c r="A90" s="284" t="s">
        <v>219</v>
      </c>
      <c r="B90" s="284"/>
      <c r="C90" s="285"/>
      <c r="D90" s="285"/>
      <c r="E90" s="285"/>
      <c r="F90" s="285"/>
      <c r="G90" s="285"/>
      <c r="H90" s="285"/>
      <c r="I90" s="285"/>
      <c r="J90" s="285"/>
      <c r="K90" s="285"/>
      <c r="L90" s="285"/>
      <c r="M90" s="285"/>
      <c r="N90" s="285"/>
      <c r="O90" s="285"/>
      <c r="P90" s="285"/>
      <c r="Q90" s="285"/>
      <c r="R90" s="285"/>
      <c r="S90" s="285"/>
      <c r="T90" s="285"/>
      <c r="U90" s="285"/>
      <c r="V90" s="285"/>
      <c r="W90" s="285"/>
      <c r="X90" s="285"/>
    </row>
    <row r="91" spans="1:24" x14ac:dyDescent="0.25">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5">
      <c r="A92" s="250" t="s">
        <v>220</v>
      </c>
      <c r="B92" s="250"/>
      <c r="C92" s="251"/>
      <c r="D92" s="251"/>
      <c r="E92" s="251"/>
      <c r="F92" s="251"/>
      <c r="G92" s="251"/>
      <c r="H92" s="251"/>
      <c r="I92" s="251"/>
      <c r="J92" s="251"/>
      <c r="K92" s="251"/>
      <c r="L92" s="251"/>
      <c r="M92" s="251"/>
      <c r="N92" s="251"/>
      <c r="O92" s="251"/>
      <c r="P92" s="251"/>
      <c r="Q92" s="251"/>
      <c r="R92" s="251"/>
      <c r="S92" s="251"/>
      <c r="T92" s="251"/>
      <c r="U92" s="251"/>
      <c r="V92" s="251"/>
      <c r="W92" s="251"/>
      <c r="X92" s="251"/>
    </row>
    <row r="93" spans="1:24" ht="12.75" customHeight="1" x14ac:dyDescent="0.25">
      <c r="A93" s="261" t="s">
        <v>221</v>
      </c>
      <c r="B93" s="261"/>
      <c r="C93" s="262"/>
      <c r="D93" s="262"/>
      <c r="E93" s="262"/>
      <c r="F93" s="262"/>
      <c r="G93" s="262"/>
      <c r="H93" s="262"/>
      <c r="I93" s="262"/>
      <c r="J93" s="262"/>
      <c r="K93" s="262"/>
      <c r="L93" s="262"/>
      <c r="M93" s="262"/>
      <c r="N93" s="262"/>
      <c r="O93" s="262"/>
      <c r="P93" s="262"/>
      <c r="Q93" s="262"/>
      <c r="R93" s="262"/>
      <c r="S93" s="262"/>
      <c r="T93" s="262"/>
      <c r="U93" s="262"/>
      <c r="V93" s="262"/>
      <c r="W93" s="262"/>
      <c r="X93" s="262"/>
    </row>
    <row r="94" spans="1:24" ht="12.75" customHeight="1" x14ac:dyDescent="0.25">
      <c r="A94" s="250" t="s">
        <v>222</v>
      </c>
      <c r="B94" s="250"/>
      <c r="C94" s="251"/>
      <c r="D94" s="251"/>
      <c r="E94" s="251"/>
      <c r="F94" s="251"/>
      <c r="G94" s="251"/>
      <c r="H94" s="251"/>
      <c r="I94" s="251"/>
      <c r="J94" s="251"/>
      <c r="K94" s="251"/>
      <c r="L94" s="251"/>
      <c r="M94" s="251"/>
      <c r="N94" s="251"/>
      <c r="O94" s="251"/>
      <c r="P94" s="251"/>
      <c r="Q94" s="251"/>
      <c r="R94" s="251"/>
      <c r="S94" s="251"/>
      <c r="T94" s="251"/>
      <c r="U94" s="251"/>
      <c r="V94" s="251"/>
      <c r="W94" s="251"/>
      <c r="X94" s="251"/>
    </row>
    <row r="95" spans="1:24" x14ac:dyDescent="0.25">
      <c r="A95" s="250" t="s">
        <v>223</v>
      </c>
      <c r="B95" s="250"/>
      <c r="C95" s="251"/>
      <c r="D95" s="251"/>
      <c r="E95" s="251"/>
      <c r="F95" s="251"/>
      <c r="G95" s="251"/>
      <c r="H95" s="251"/>
      <c r="I95" s="251"/>
      <c r="J95" s="251"/>
      <c r="K95" s="251"/>
      <c r="L95" s="251"/>
      <c r="M95" s="251"/>
      <c r="N95" s="251"/>
      <c r="O95" s="251"/>
      <c r="P95" s="251"/>
      <c r="Q95" s="251"/>
      <c r="R95" s="251"/>
      <c r="S95" s="251"/>
      <c r="T95" s="251"/>
      <c r="U95" s="251"/>
      <c r="V95" s="251"/>
      <c r="W95" s="251"/>
      <c r="X95" s="251"/>
    </row>
    <row r="96" spans="1:24" ht="12.75" customHeight="1" x14ac:dyDescent="0.25">
      <c r="A96" s="261"/>
      <c r="B96" s="261"/>
      <c r="C96" s="262"/>
      <c r="D96" s="262"/>
      <c r="E96" s="262"/>
      <c r="F96" s="262"/>
      <c r="G96" s="262"/>
      <c r="H96" s="262"/>
      <c r="I96" s="262"/>
      <c r="J96" s="262"/>
      <c r="K96" s="262"/>
      <c r="L96" s="262"/>
      <c r="M96" s="262"/>
      <c r="N96" s="262"/>
      <c r="O96" s="262"/>
      <c r="P96" s="262"/>
      <c r="Q96" s="262"/>
      <c r="R96" s="262"/>
      <c r="S96" s="262"/>
      <c r="T96" s="262"/>
      <c r="U96" s="262"/>
      <c r="V96" s="262"/>
      <c r="W96" s="262"/>
      <c r="X96" s="262"/>
    </row>
    <row r="97" spans="1:24" x14ac:dyDescent="0.25">
      <c r="A97" s="284" t="s">
        <v>224</v>
      </c>
      <c r="B97" s="284"/>
      <c r="C97" s="285"/>
      <c r="D97" s="285"/>
      <c r="E97" s="285"/>
      <c r="F97" s="285"/>
      <c r="G97" s="285"/>
      <c r="H97" s="285"/>
      <c r="I97" s="285"/>
      <c r="J97" s="285"/>
      <c r="K97" s="285"/>
      <c r="L97" s="285"/>
      <c r="M97" s="285"/>
      <c r="N97" s="285"/>
      <c r="O97" s="285"/>
      <c r="P97" s="285"/>
      <c r="Q97" s="285"/>
      <c r="R97" s="285"/>
      <c r="S97" s="285"/>
      <c r="T97" s="285"/>
      <c r="U97" s="285"/>
      <c r="V97" s="285"/>
      <c r="W97" s="285"/>
      <c r="X97" s="285"/>
    </row>
    <row r="98" spans="1:24" ht="12.75" customHeight="1" x14ac:dyDescent="0.25">
      <c r="A98" s="261"/>
      <c r="B98" s="261"/>
      <c r="C98" s="262"/>
      <c r="D98" s="262"/>
      <c r="E98" s="262"/>
      <c r="F98" s="262"/>
      <c r="G98" s="262"/>
      <c r="H98" s="262"/>
      <c r="I98" s="262"/>
      <c r="J98" s="262"/>
      <c r="K98" s="262"/>
      <c r="L98" s="262"/>
      <c r="M98" s="262"/>
      <c r="N98" s="262"/>
      <c r="O98" s="262"/>
      <c r="P98" s="262"/>
      <c r="Q98" s="262"/>
      <c r="R98" s="262"/>
      <c r="S98" s="262"/>
      <c r="T98" s="262"/>
      <c r="U98" s="262"/>
      <c r="V98" s="262"/>
      <c r="W98" s="262"/>
      <c r="X98" s="262"/>
    </row>
    <row r="99" spans="1:24" ht="12.75" customHeight="1" x14ac:dyDescent="0.25">
      <c r="A99" s="250" t="s">
        <v>225</v>
      </c>
      <c r="B99" s="250"/>
      <c r="C99" s="251"/>
      <c r="D99" s="251"/>
      <c r="E99" s="251"/>
      <c r="F99" s="251"/>
      <c r="G99" s="251"/>
      <c r="H99" s="251"/>
      <c r="I99" s="251"/>
      <c r="J99" s="251"/>
      <c r="K99" s="251"/>
      <c r="L99" s="251"/>
      <c r="M99" s="251"/>
      <c r="N99" s="251"/>
      <c r="O99" s="251"/>
      <c r="P99" s="251"/>
      <c r="Q99" s="251"/>
      <c r="R99" s="251"/>
      <c r="S99" s="251"/>
      <c r="T99" s="251"/>
      <c r="U99" s="251"/>
      <c r="V99" s="251"/>
      <c r="W99" s="251"/>
      <c r="X99" s="251"/>
    </row>
    <row r="100" spans="1:24" ht="12.75" customHeight="1" x14ac:dyDescent="0.25">
      <c r="A100" s="250" t="s">
        <v>226</v>
      </c>
      <c r="B100" s="250"/>
      <c r="C100" s="251"/>
      <c r="D100" s="251"/>
      <c r="E100" s="251"/>
      <c r="F100" s="251"/>
      <c r="G100" s="251"/>
      <c r="H100" s="251"/>
      <c r="I100" s="251"/>
      <c r="J100" s="251"/>
      <c r="K100" s="251"/>
      <c r="L100" s="251"/>
      <c r="M100" s="251"/>
      <c r="N100" s="251"/>
      <c r="O100" s="251"/>
      <c r="P100" s="251"/>
      <c r="Q100" s="251"/>
      <c r="R100" s="251"/>
      <c r="S100" s="251"/>
      <c r="T100" s="251"/>
      <c r="U100" s="251"/>
      <c r="V100" s="251"/>
      <c r="W100" s="251"/>
      <c r="X100" s="251"/>
    </row>
    <row r="101" spans="1:24" x14ac:dyDescent="0.25">
      <c r="A101" s="250" t="s">
        <v>227</v>
      </c>
      <c r="B101" s="250"/>
      <c r="C101" s="251"/>
      <c r="D101" s="251"/>
      <c r="E101" s="251"/>
      <c r="F101" s="251"/>
      <c r="G101" s="251"/>
      <c r="H101" s="251"/>
      <c r="I101" s="251"/>
      <c r="J101" s="251"/>
      <c r="K101" s="251"/>
      <c r="L101" s="251"/>
      <c r="M101" s="251"/>
      <c r="N101" s="251"/>
      <c r="O101" s="251"/>
      <c r="P101" s="251"/>
      <c r="Q101" s="251"/>
      <c r="R101" s="251"/>
      <c r="S101" s="251"/>
      <c r="T101" s="251"/>
      <c r="U101" s="251"/>
      <c r="V101" s="251"/>
      <c r="W101" s="251"/>
      <c r="X101" s="251"/>
    </row>
    <row r="102" spans="1:24" ht="12.75" customHeight="1" x14ac:dyDescent="0.25">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5">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5">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5">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5"/>
    <row r="107" spans="1:24" x14ac:dyDescent="0.25">
      <c r="A107"/>
      <c r="E107"/>
      <c r="F107"/>
      <c r="H107" s="38"/>
      <c r="L107" s="82" t="s">
        <v>131</v>
      </c>
      <c r="O107" s="82"/>
      <c r="P107" s="38"/>
      <c r="Q107" s="82"/>
    </row>
    <row r="108" spans="1:24" ht="12.75" customHeight="1" x14ac:dyDescent="0.25">
      <c r="A108"/>
      <c r="E108"/>
      <c r="F108"/>
      <c r="G108" s="31"/>
      <c r="H108" s="31"/>
      <c r="L108" s="82" t="s">
        <v>132</v>
      </c>
      <c r="P108" s="31"/>
      <c r="S108" s="208">
        <f ca="1">T38</f>
        <v>0.22</v>
      </c>
    </row>
    <row r="109" spans="1:24" x14ac:dyDescent="0.25">
      <c r="A109"/>
      <c r="E109"/>
      <c r="F109"/>
      <c r="G109" s="31"/>
      <c r="H109" s="31"/>
      <c r="L109" s="82" t="s">
        <v>133</v>
      </c>
      <c r="P109" s="31"/>
      <c r="S109" s="208" t="str">
        <f ca="1">U38</f>
        <v/>
      </c>
    </row>
    <row r="110" spans="1:24" ht="12.75" customHeight="1" x14ac:dyDescent="0.25">
      <c r="A110"/>
      <c r="E110"/>
      <c r="F110"/>
      <c r="G110" s="31"/>
      <c r="H110" s="31"/>
      <c r="L110" s="82" t="s">
        <v>134</v>
      </c>
      <c r="P110" s="31"/>
      <c r="S110" s="208" t="str">
        <f ca="1">V38</f>
        <v/>
      </c>
    </row>
    <row r="111" spans="1:24" x14ac:dyDescent="0.25">
      <c r="A111"/>
      <c r="E111"/>
      <c r="F111"/>
      <c r="G111" s="31"/>
      <c r="H111" s="31"/>
      <c r="L111" s="82" t="s">
        <v>135</v>
      </c>
      <c r="P111" s="31"/>
      <c r="S111" s="208" t="str">
        <f ca="1">W38</f>
        <v/>
      </c>
    </row>
    <row r="112" spans="1:24" ht="12.75" customHeight="1" x14ac:dyDescent="0.25">
      <c r="A112"/>
      <c r="E112"/>
      <c r="F112"/>
      <c r="G112" s="31"/>
      <c r="H112" s="31"/>
      <c r="L112" s="82" t="s">
        <v>136</v>
      </c>
      <c r="P112" s="31"/>
      <c r="S112" s="208" t="str">
        <f ca="1">X38</f>
        <v/>
      </c>
    </row>
    <row r="113" spans="1:16" x14ac:dyDescent="0.25">
      <c r="A113"/>
      <c r="H113" s="38"/>
      <c r="L113" s="82" t="s">
        <v>66</v>
      </c>
    </row>
    <row r="114" spans="1:16" ht="12.75" customHeight="1" x14ac:dyDescent="0.25">
      <c r="A114"/>
      <c r="H114" s="38"/>
      <c r="L114" s="82" t="s">
        <v>67</v>
      </c>
    </row>
    <row r="115" spans="1:16" x14ac:dyDescent="0.25">
      <c r="A115"/>
      <c r="H115" s="38"/>
      <c r="L115" s="82" t="s">
        <v>68</v>
      </c>
      <c r="P115" s="1" t="s">
        <v>112</v>
      </c>
    </row>
    <row r="116" spans="1:16" x14ac:dyDescent="0.25">
      <c r="A116"/>
      <c r="H116" s="38"/>
      <c r="L116" s="82" t="s">
        <v>69</v>
      </c>
      <c r="P116" s="1" t="s">
        <v>113</v>
      </c>
    </row>
    <row r="117" spans="1:16" x14ac:dyDescent="0.25">
      <c r="A117"/>
      <c r="L117" s="82" t="s">
        <v>70</v>
      </c>
      <c r="P117" s="1" t="s">
        <v>114</v>
      </c>
    </row>
    <row r="118" spans="1:16" x14ac:dyDescent="0.25">
      <c r="A118"/>
      <c r="L118" s="82" t="s">
        <v>71</v>
      </c>
      <c r="P118" s="1" t="s">
        <v>94</v>
      </c>
    </row>
    <row r="119" spans="1:16" x14ac:dyDescent="0.25">
      <c r="A119"/>
      <c r="L119" s="82" t="s">
        <v>72</v>
      </c>
      <c r="P119" s="1" t="s">
        <v>95</v>
      </c>
    </row>
    <row r="120" spans="1:16" x14ac:dyDescent="0.25">
      <c r="A120"/>
      <c r="L120" s="82" t="s">
        <v>73</v>
      </c>
      <c r="P120" s="1" t="s">
        <v>96</v>
      </c>
    </row>
    <row r="121" spans="1:16" x14ac:dyDescent="0.25">
      <c r="A121"/>
      <c r="L121" s="82" t="s">
        <v>74</v>
      </c>
    </row>
    <row r="122" spans="1:16" x14ac:dyDescent="0.25">
      <c r="A122"/>
      <c r="L122" s="82" t="s">
        <v>75</v>
      </c>
      <c r="P122" s="94" t="s">
        <v>97</v>
      </c>
    </row>
    <row r="123" spans="1:16" x14ac:dyDescent="0.25">
      <c r="A123"/>
      <c r="L123" s="82" t="s">
        <v>76</v>
      </c>
      <c r="P123" s="94" t="s">
        <v>98</v>
      </c>
    </row>
    <row r="124" spans="1:16" x14ac:dyDescent="0.25">
      <c r="A124"/>
      <c r="L124" s="82" t="s">
        <v>77</v>
      </c>
    </row>
    <row r="125" spans="1:16" x14ac:dyDescent="0.25">
      <c r="A125"/>
      <c r="L125" s="82" t="s">
        <v>78</v>
      </c>
    </row>
    <row r="126" spans="1:16" x14ac:dyDescent="0.25">
      <c r="A126"/>
      <c r="L126" s="82" t="s">
        <v>79</v>
      </c>
    </row>
    <row r="127" spans="1:16" x14ac:dyDescent="0.25">
      <c r="A127"/>
      <c r="L127" s="82" t="s">
        <v>80</v>
      </c>
    </row>
    <row r="128" spans="1:16" x14ac:dyDescent="0.25">
      <c r="A128"/>
      <c r="L128" s="82" t="s">
        <v>81</v>
      </c>
    </row>
    <row r="129" spans="1:12" x14ac:dyDescent="0.25">
      <c r="A129"/>
      <c r="L129" s="82" t="s">
        <v>82</v>
      </c>
    </row>
    <row r="130" spans="1:12" x14ac:dyDescent="0.25">
      <c r="A130"/>
      <c r="L130" s="82" t="s">
        <v>83</v>
      </c>
    </row>
    <row r="131" spans="1:12" x14ac:dyDescent="0.25">
      <c r="A131"/>
      <c r="L131" s="82" t="s">
        <v>84</v>
      </c>
    </row>
    <row r="132" spans="1:12" x14ac:dyDescent="0.25">
      <c r="A132"/>
      <c r="L132" s="82" t="s">
        <v>65</v>
      </c>
    </row>
    <row r="133" spans="1:12" x14ac:dyDescent="0.25">
      <c r="A133"/>
      <c r="L133" s="82" t="s">
        <v>85</v>
      </c>
    </row>
    <row r="134" spans="1:12" x14ac:dyDescent="0.25">
      <c r="A134"/>
      <c r="L134" s="82" t="s">
        <v>86</v>
      </c>
    </row>
    <row r="135" spans="1:12" x14ac:dyDescent="0.25">
      <c r="A135"/>
    </row>
    <row r="136" spans="1:12" x14ac:dyDescent="0.25">
      <c r="A136"/>
    </row>
    <row r="137" spans="1:12" x14ac:dyDescent="0.25">
      <c r="A137"/>
    </row>
    <row r="138" spans="1:12" x14ac:dyDescent="0.25">
      <c r="A138"/>
    </row>
    <row r="139" spans="1:12" x14ac:dyDescent="0.25">
      <c r="A139"/>
    </row>
    <row r="140" spans="1:12" x14ac:dyDescent="0.25">
      <c r="A140"/>
    </row>
    <row r="141" spans="1:12" x14ac:dyDescent="0.25">
      <c r="A141"/>
    </row>
    <row r="142" spans="1:12" x14ac:dyDescent="0.25">
      <c r="A142"/>
    </row>
    <row r="143" spans="1:12" x14ac:dyDescent="0.25">
      <c r="A143"/>
    </row>
    <row r="144" spans="1:12" x14ac:dyDescent="0.25">
      <c r="A144"/>
    </row>
    <row r="145" spans="1:1" x14ac:dyDescent="0.25">
      <c r="A145"/>
    </row>
    <row r="146" spans="1:1" x14ac:dyDescent="0.25">
      <c r="A146"/>
    </row>
    <row r="147" spans="1:1" x14ac:dyDescent="0.25">
      <c r="A147"/>
    </row>
    <row r="148" spans="1:1" x14ac:dyDescent="0.25">
      <c r="A148"/>
    </row>
    <row r="149" spans="1:1" x14ac:dyDescent="0.25">
      <c r="A149"/>
    </row>
    <row r="150" spans="1:1" x14ac:dyDescent="0.25">
      <c r="A150"/>
    </row>
    <row r="151" spans="1:1" x14ac:dyDescent="0.25">
      <c r="A151"/>
    </row>
    <row r="152" spans="1:1" x14ac:dyDescent="0.25">
      <c r="A152"/>
    </row>
    <row r="153" spans="1:1" x14ac:dyDescent="0.25">
      <c r="A153"/>
    </row>
    <row r="154" spans="1:1" x14ac:dyDescent="0.25">
      <c r="A154"/>
    </row>
    <row r="155" spans="1:1" x14ac:dyDescent="0.25">
      <c r="A155"/>
    </row>
    <row r="156" spans="1:1" x14ac:dyDescent="0.25">
      <c r="A156"/>
    </row>
    <row r="157" spans="1:1" x14ac:dyDescent="0.25">
      <c r="A157"/>
    </row>
    <row r="158" spans="1:1" x14ac:dyDescent="0.25">
      <c r="A158"/>
    </row>
    <row r="159" spans="1:1" x14ac:dyDescent="0.25">
      <c r="A159"/>
    </row>
    <row r="160" spans="1:1" x14ac:dyDescent="0.25">
      <c r="A160"/>
    </row>
    <row r="161" spans="1:1" x14ac:dyDescent="0.25">
      <c r="A161"/>
    </row>
    <row r="162" spans="1:1" x14ac:dyDescent="0.25">
      <c r="A162"/>
    </row>
    <row r="163" spans="1:1" x14ac:dyDescent="0.25">
      <c r="A163"/>
    </row>
    <row r="164" spans="1:1" x14ac:dyDescent="0.25">
      <c r="A164"/>
    </row>
    <row r="165" spans="1:1" x14ac:dyDescent="0.25">
      <c r="A165"/>
    </row>
    <row r="166" spans="1:1" x14ac:dyDescent="0.25">
      <c r="A166"/>
    </row>
    <row r="167" spans="1:1" x14ac:dyDescent="0.25">
      <c r="A167"/>
    </row>
    <row r="168" spans="1:1" x14ac:dyDescent="0.25">
      <c r="A168"/>
    </row>
    <row r="169" spans="1:1" x14ac:dyDescent="0.25">
      <c r="A169"/>
    </row>
    <row r="170" spans="1:1" x14ac:dyDescent="0.25">
      <c r="A170"/>
    </row>
    <row r="171" spans="1:1" x14ac:dyDescent="0.25">
      <c r="A171"/>
    </row>
    <row r="172" spans="1:1" x14ac:dyDescent="0.25">
      <c r="A172"/>
    </row>
    <row r="173" spans="1:1" x14ac:dyDescent="0.25">
      <c r="A173"/>
    </row>
    <row r="174" spans="1:1" x14ac:dyDescent="0.25">
      <c r="A174"/>
    </row>
    <row r="175" spans="1:1" x14ac:dyDescent="0.25">
      <c r="A175"/>
    </row>
    <row r="176" spans="1:1" x14ac:dyDescent="0.25">
      <c r="A176"/>
    </row>
    <row r="177" spans="1:1" x14ac:dyDescent="0.25">
      <c r="A177"/>
    </row>
    <row r="178" spans="1:1" x14ac:dyDescent="0.25">
      <c r="A178"/>
    </row>
    <row r="179" spans="1:1" x14ac:dyDescent="0.25">
      <c r="A179"/>
    </row>
    <row r="180" spans="1:1" x14ac:dyDescent="0.25">
      <c r="A180"/>
    </row>
    <row r="219" spans="1:24" ht="12.75" customHeight="1" x14ac:dyDescent="0.25"/>
    <row r="220" spans="1:24" ht="12.75" customHeight="1" x14ac:dyDescent="0.25">
      <c r="A220" s="236" t="str">
        <f>A28</f>
        <v>Nº OPERAÇÃO</v>
      </c>
      <c r="B220" s="238"/>
      <c r="C220" s="236" t="str">
        <f>C28</f>
        <v>GESTOR</v>
      </c>
      <c r="D220" s="237"/>
      <c r="E220" s="238"/>
      <c r="F220" s="236" t="str">
        <f>F28</f>
        <v>PROGRAMA</v>
      </c>
      <c r="G220" s="237"/>
      <c r="H220" s="237"/>
      <c r="I220" s="238"/>
      <c r="J220" s="236" t="str">
        <f>J28</f>
        <v>AÇÃO / MODALIDADE</v>
      </c>
      <c r="K220" s="237"/>
      <c r="L220" s="237"/>
      <c r="M220" s="237"/>
      <c r="N220" s="237"/>
      <c r="O220" s="238"/>
      <c r="P220" s="236" t="str">
        <f>P28</f>
        <v>OBJETO</v>
      </c>
      <c r="Q220" s="237"/>
      <c r="R220" s="237"/>
      <c r="S220" s="237"/>
      <c r="T220" s="237"/>
      <c r="U220" s="237"/>
      <c r="V220" s="237"/>
      <c r="W220" s="237"/>
      <c r="X220" s="238"/>
    </row>
    <row r="221" spans="1:24" ht="12.75" customHeight="1" x14ac:dyDescent="0.25">
      <c r="A221" s="233" t="str">
        <f>IF(A29="","",A29)</f>
        <v/>
      </c>
      <c r="B221" s="235"/>
      <c r="C221" s="233" t="str">
        <f>IF(C29="","",C29)</f>
        <v/>
      </c>
      <c r="D221" s="234"/>
      <c r="E221" s="235"/>
      <c r="F221" s="233" t="str">
        <f>IF(F29="","",F29)</f>
        <v/>
      </c>
      <c r="G221" s="234"/>
      <c r="H221" s="234"/>
      <c r="I221" s="235"/>
      <c r="J221" s="233" t="str">
        <f>IF(J29="","",J29)</f>
        <v/>
      </c>
      <c r="K221" s="234"/>
      <c r="L221" s="234" t="e">
        <f>IF(#REF!="","",#REF!)</f>
        <v>#REF!</v>
      </c>
      <c r="M221" s="234"/>
      <c r="N221" s="234" t="e">
        <f>IF(#REF!="","",#REF!)</f>
        <v>#REF!</v>
      </c>
      <c r="O221" s="235"/>
      <c r="P221" s="233" t="str">
        <f>IF(P29="","",P29)</f>
        <v>PAVIMENTAÇÃO BASÁLTICA RUA ARI DA SILVA</v>
      </c>
      <c r="Q221" s="234"/>
      <c r="R221" s="234"/>
      <c r="S221" s="234"/>
      <c r="T221" s="234"/>
      <c r="U221" s="234"/>
      <c r="V221" s="234"/>
      <c r="W221" s="234"/>
      <c r="X221" s="235"/>
    </row>
    <row r="222" spans="1:24" ht="6"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5">
      <c r="A223" s="236" t="str">
        <f>A31</f>
        <v>PROPONENTE / TOMADOR</v>
      </c>
      <c r="B223" s="237"/>
      <c r="C223" s="237"/>
      <c r="D223" s="237"/>
      <c r="E223" s="237"/>
      <c r="F223" s="237"/>
      <c r="G223" s="236" t="str">
        <f>G31</f>
        <v>MUNICÍPIO / UF</v>
      </c>
      <c r="H223" s="237"/>
      <c r="I223" s="237"/>
      <c r="J223" s="238"/>
      <c r="K223" s="236" t="str">
        <f>K31</f>
        <v>LOCALIDADE / ENDEREÇO</v>
      </c>
      <c r="L223" s="237"/>
      <c r="M223" s="237"/>
      <c r="N223" s="237"/>
      <c r="O223" s="237"/>
      <c r="P223" s="238"/>
      <c r="Q223" s="236" t="str">
        <f>Q31</f>
        <v>APELIDO DO EMPREENDIMENTO</v>
      </c>
      <c r="R223" s="237"/>
      <c r="S223" s="237"/>
      <c r="T223" s="237"/>
      <c r="U223" s="237"/>
      <c r="V223" s="237"/>
      <c r="W223" s="237"/>
      <c r="X223" s="238"/>
    </row>
    <row r="224" spans="1:24" ht="12.75" customHeight="1" x14ac:dyDescent="0.25">
      <c r="A224" s="270" t="str">
        <f>IF(A32="","",A32)</f>
        <v>MUNICIPIO DE BENTO GONÇALVES</v>
      </c>
      <c r="B224" s="271"/>
      <c r="C224" s="271"/>
      <c r="D224" s="271"/>
      <c r="E224" s="271"/>
      <c r="F224" s="271"/>
      <c r="G224" s="233" t="str">
        <f>IF(G32="","",G32)</f>
        <v>BENTO GONÇALVES/RS</v>
      </c>
      <c r="H224" s="234" t="str">
        <f>IF(I32="","",I32)</f>
        <v/>
      </c>
      <c r="I224" s="234"/>
      <c r="J224" s="235" t="e">
        <f>IF(#REF!="","",#REF!)</f>
        <v>#REF!</v>
      </c>
      <c r="K224" s="233" t="str">
        <f>IF(K32="","",K32)</f>
        <v>PAVIMENTAÇÃO BASÁLTICA RUA ARI DA SILVA</v>
      </c>
      <c r="L224" s="234"/>
      <c r="M224" s="234"/>
      <c r="N224" s="234"/>
      <c r="O224" s="234"/>
      <c r="P224" s="235"/>
      <c r="Q224" s="233" t="str">
        <f>IF(Q32="","",Q32)</f>
        <v>PAVIMENTAÇÃO BASÁLTICA RUA ARI DA SILVA</v>
      </c>
      <c r="R224" s="234"/>
      <c r="S224" s="234"/>
      <c r="T224" s="234"/>
      <c r="U224" s="234"/>
      <c r="V224" s="234"/>
      <c r="W224" s="234"/>
      <c r="X224" s="235"/>
    </row>
    <row r="225" spans="1:24" ht="6" hidden="1"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5">
      <c r="A226" s="236" t="str">
        <f>A37</f>
        <v>DATA BASE</v>
      </c>
      <c r="B226" s="238"/>
      <c r="C226" s="135" t="str">
        <f>C37</f>
        <v>DESON.</v>
      </c>
      <c r="D226" s="236" t="str">
        <f>D37</f>
        <v>LOCALIDADE DO SINAPI</v>
      </c>
      <c r="E226" s="237"/>
      <c r="F226" s="238"/>
      <c r="G226" s="236" t="str">
        <f>G37</f>
        <v>DESCRIÇÃO DO LOTE</v>
      </c>
      <c r="H226" s="237"/>
      <c r="I226" s="237"/>
      <c r="J226" s="237"/>
      <c r="K226" s="237"/>
      <c r="L226" s="237"/>
      <c r="M226" s="237"/>
      <c r="N226" s="237"/>
      <c r="O226" s="237"/>
      <c r="P226" s="237"/>
      <c r="Q226" s="237"/>
      <c r="R226" s="237"/>
      <c r="S226" s="238"/>
      <c r="T226" s="136" t="str">
        <f>T37</f>
        <v>BDI 1</v>
      </c>
      <c r="U226" s="136" t="str">
        <f>U37</f>
        <v>BDI 2</v>
      </c>
      <c r="V226" s="136" t="str">
        <f>V37</f>
        <v>BDI 3</v>
      </c>
      <c r="W226" s="136" t="str">
        <f>W37</f>
        <v>BDI 4</v>
      </c>
      <c r="X226" s="136" t="str">
        <f>X37</f>
        <v>BDI 5</v>
      </c>
    </row>
    <row r="227" spans="1:24" ht="12.75" hidden="1" customHeight="1" x14ac:dyDescent="0.25">
      <c r="A227" s="276">
        <f>IF(A38="","",A38)</f>
        <v>45483</v>
      </c>
      <c r="B227" s="277"/>
      <c r="C227" s="137" t="str">
        <f t="shared" ref="C227:X227" si="0">IF(C38="","",C38)</f>
        <v>Não</v>
      </c>
      <c r="D227" s="263" t="str">
        <f t="shared" si="0"/>
        <v>Porto Alegre / RS</v>
      </c>
      <c r="E227" s="267" t="str">
        <f t="shared" si="0"/>
        <v/>
      </c>
      <c r="F227" s="264" t="str">
        <f t="shared" si="0"/>
        <v/>
      </c>
      <c r="G227" s="263" t="str">
        <f t="shared" si="0"/>
        <v>PAVIMENTAÇÃO BASÁLTICA RUA ARI DA SILVA</v>
      </c>
      <c r="H227" s="267" t="str">
        <f t="shared" si="0"/>
        <v/>
      </c>
      <c r="I227" s="267" t="str">
        <f t="shared" si="0"/>
        <v/>
      </c>
      <c r="J227" s="267" t="str">
        <f t="shared" si="0"/>
        <v/>
      </c>
      <c r="K227" s="267" t="str">
        <f t="shared" si="0"/>
        <v/>
      </c>
      <c r="L227" s="267" t="str">
        <f t="shared" si="0"/>
        <v/>
      </c>
      <c r="M227" s="267" t="str">
        <f t="shared" si="0"/>
        <v/>
      </c>
      <c r="N227" s="267" t="str">
        <f t="shared" si="0"/>
        <v/>
      </c>
      <c r="O227" s="267" t="str">
        <f t="shared" si="0"/>
        <v/>
      </c>
      <c r="P227" s="267" t="str">
        <f t="shared" si="0"/>
        <v/>
      </c>
      <c r="Q227" s="267" t="str">
        <f t="shared" si="0"/>
        <v/>
      </c>
      <c r="R227" s="267" t="str">
        <f t="shared" si="0"/>
        <v/>
      </c>
      <c r="S227" s="264" t="str">
        <f t="shared" si="0"/>
        <v/>
      </c>
      <c r="T227" s="139">
        <f t="shared" ca="1" si="0"/>
        <v>0.22</v>
      </c>
      <c r="U227" s="96" t="str">
        <f t="shared" ca="1" si="0"/>
        <v/>
      </c>
      <c r="V227" s="96" t="str">
        <f t="shared" ca="1" si="0"/>
        <v/>
      </c>
      <c r="W227" s="96" t="str">
        <f t="shared" ca="1" si="0"/>
        <v/>
      </c>
      <c r="X227" s="96" t="str">
        <f t="shared" ca="1" si="0"/>
        <v/>
      </c>
    </row>
    <row r="228" spans="1:24" ht="6"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5">
      <c r="A229" s="236" t="s">
        <v>87</v>
      </c>
      <c r="B229" s="238"/>
      <c r="C229" s="236" t="s">
        <v>163</v>
      </c>
      <c r="D229" s="237"/>
      <c r="E229" s="237"/>
      <c r="F229" s="237"/>
      <c r="G229" s="237"/>
      <c r="H229" s="236" t="s">
        <v>16</v>
      </c>
      <c r="I229" s="237"/>
      <c r="J229" s="134" t="s">
        <v>91</v>
      </c>
      <c r="K229" s="236" t="s">
        <v>88</v>
      </c>
      <c r="L229" s="237"/>
      <c r="M229" s="238"/>
      <c r="N229" s="134" t="s">
        <v>92</v>
      </c>
      <c r="O229" s="236" t="s">
        <v>93</v>
      </c>
      <c r="P229" s="237"/>
      <c r="Q229" s="237"/>
      <c r="R229" s="237"/>
      <c r="S229" s="237"/>
      <c r="T229" s="238"/>
      <c r="U229" s="272" t="s">
        <v>89</v>
      </c>
      <c r="V229" s="273"/>
      <c r="W229" s="272" t="s">
        <v>90</v>
      </c>
      <c r="X229" s="273"/>
    </row>
    <row r="230" spans="1:24" s="21" customFormat="1" ht="12.75" customHeight="1" x14ac:dyDescent="0.25">
      <c r="A230" s="263" t="str">
        <f>IF(A43="","",A43)</f>
        <v/>
      </c>
      <c r="B230" s="264"/>
      <c r="C230" s="263" t="str">
        <f>IF(C43="","",C43)</f>
        <v/>
      </c>
      <c r="D230" s="267"/>
      <c r="E230" s="267" t="str">
        <f>IF(E43="","",E43)</f>
        <v/>
      </c>
      <c r="F230" s="267"/>
      <c r="G230" s="267" t="str">
        <f>IF(G43="","",G43)</f>
        <v/>
      </c>
      <c r="H230" s="268" t="str">
        <f>IF(H43="","",H43)</f>
        <v/>
      </c>
      <c r="I230" s="269" t="str">
        <f>IF(I43="","",I43)</f>
        <v/>
      </c>
      <c r="J230" s="138" t="str">
        <f>IF(J43="","",J43)</f>
        <v/>
      </c>
      <c r="K230" s="255" t="str">
        <f>IF(K43="","",K43)</f>
        <v/>
      </c>
      <c r="L230" s="257"/>
      <c r="M230" s="258" t="str">
        <f>IF(M43="","",M43)</f>
        <v/>
      </c>
      <c r="N230" s="140" t="str">
        <f>IF(N43="","",N43)</f>
        <v/>
      </c>
      <c r="O230" s="255" t="str">
        <f>IF(O43="","",O43)</f>
        <v/>
      </c>
      <c r="P230" s="256"/>
      <c r="Q230" s="256" t="str">
        <f>IF(Q43="","",Q43)</f>
        <v/>
      </c>
      <c r="R230" s="257"/>
      <c r="S230" s="257" t="str">
        <f>IF(S43="","",S43)</f>
        <v/>
      </c>
      <c r="T230" s="258"/>
      <c r="U230" s="265" t="str">
        <f>IF(U43="","",U43)</f>
        <v/>
      </c>
      <c r="V230" s="266"/>
      <c r="W230" s="259" t="str">
        <f>IF(W43="","",W43)</f>
        <v/>
      </c>
      <c r="X230" s="260"/>
    </row>
    <row r="231" spans="1:24" x14ac:dyDescent="0.25">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5">
      <c r="A232" s="1"/>
      <c r="B232" s="1"/>
      <c r="F232" s="1"/>
      <c r="G232" s="1"/>
      <c r="H232" s="1"/>
    </row>
    <row r="233" spans="1:24" x14ac:dyDescent="0.25">
      <c r="A233" s="1"/>
      <c r="B233" s="1"/>
      <c r="F233" s="1"/>
      <c r="G233" s="1"/>
      <c r="H233" s="1"/>
    </row>
    <row r="234" spans="1:24" x14ac:dyDescent="0.25">
      <c r="A234" s="1"/>
      <c r="B234" s="1"/>
      <c r="F234" s="1"/>
      <c r="G234" s="1"/>
      <c r="H234" s="1"/>
    </row>
    <row r="235" spans="1:24" x14ac:dyDescent="0.25">
      <c r="A235" s="1"/>
      <c r="B235" s="1"/>
      <c r="F235" s="1"/>
      <c r="G235" s="1"/>
      <c r="H235" s="1"/>
    </row>
    <row r="236" spans="1:24" ht="12.75" hidden="1" customHeight="1" x14ac:dyDescent="0.25">
      <c r="A236" s="1"/>
      <c r="B236" s="1"/>
      <c r="F236" s="1"/>
      <c r="G236" s="1"/>
      <c r="H236" s="1"/>
    </row>
    <row r="237" spans="1:24" ht="6" hidden="1" customHeight="1" x14ac:dyDescent="0.25">
      <c r="A237" s="1"/>
      <c r="B237" s="1"/>
      <c r="F237" s="1"/>
      <c r="G237" s="1"/>
      <c r="H237" s="1"/>
    </row>
    <row r="238" spans="1:24" ht="12.75" hidden="1" customHeight="1" x14ac:dyDescent="0.25">
      <c r="A238" s="1"/>
      <c r="B238" s="1"/>
      <c r="F238" s="1"/>
      <c r="G238" s="1"/>
      <c r="H238" s="1"/>
    </row>
    <row r="239" spans="1:24" ht="12.75" hidden="1" customHeight="1" x14ac:dyDescent="0.25">
      <c r="A239" s="1"/>
      <c r="B239" s="1"/>
      <c r="F239" s="1"/>
      <c r="G239" s="1"/>
      <c r="H239" s="1"/>
    </row>
    <row r="240" spans="1:24" ht="6" hidden="1" customHeight="1" x14ac:dyDescent="0.25">
      <c r="A240" s="1"/>
      <c r="B240" s="1"/>
      <c r="F240" s="1"/>
      <c r="G240" s="1"/>
      <c r="H240" s="1"/>
    </row>
    <row r="241" spans="1:8" ht="12.75" hidden="1" customHeight="1" x14ac:dyDescent="0.25">
      <c r="A241" s="1"/>
      <c r="B241" s="1"/>
      <c r="F241" s="1"/>
      <c r="G241" s="1"/>
      <c r="H241" s="1"/>
    </row>
    <row r="242" spans="1:8" ht="12.75" hidden="1" customHeight="1" x14ac:dyDescent="0.25">
      <c r="A242" s="1"/>
      <c r="B242" s="1"/>
      <c r="F242" s="1"/>
      <c r="G242" s="1"/>
      <c r="H242" s="1"/>
    </row>
    <row r="243" spans="1:8" ht="12.75" hidden="1" customHeight="1" x14ac:dyDescent="0.25">
      <c r="A243" s="1"/>
      <c r="B243" s="1"/>
      <c r="F243" s="1"/>
      <c r="G243" s="1"/>
      <c r="H243" s="1"/>
    </row>
    <row r="244" spans="1:8" ht="12.75" customHeight="1" x14ac:dyDescent="0.25">
      <c r="A244" s="1"/>
      <c r="B244" s="1"/>
      <c r="F244" s="1"/>
      <c r="G244" s="1"/>
      <c r="H244" s="1"/>
    </row>
    <row r="245" spans="1:8" ht="6" customHeight="1" x14ac:dyDescent="0.25">
      <c r="A245" s="1"/>
      <c r="B245" s="1"/>
      <c r="F245" s="1"/>
      <c r="G245" s="1"/>
      <c r="H245" s="1"/>
    </row>
    <row r="246" spans="1:8" ht="12.75" customHeight="1" x14ac:dyDescent="0.25">
      <c r="A246" s="1"/>
      <c r="B246" s="1"/>
      <c r="F246" s="1"/>
      <c r="G246" s="1"/>
      <c r="H246" s="1"/>
    </row>
    <row r="247" spans="1:8" ht="12.75" customHeight="1" x14ac:dyDescent="0.25">
      <c r="A247" s="1"/>
      <c r="B247" s="1"/>
      <c r="F247" s="1"/>
      <c r="G247" s="1"/>
      <c r="H247" s="1"/>
    </row>
    <row r="248" spans="1:8" ht="12.75" customHeight="1" x14ac:dyDescent="0.25">
      <c r="A248" s="1"/>
      <c r="B248" s="1"/>
      <c r="F248" s="1"/>
      <c r="G248" s="1"/>
      <c r="H248" s="1"/>
    </row>
    <row r="249" spans="1:8" ht="12.75" customHeight="1" x14ac:dyDescent="0.25">
      <c r="A249" s="1"/>
      <c r="B249" s="1"/>
      <c r="F249" s="1"/>
      <c r="G249" s="1"/>
      <c r="H249" s="1"/>
    </row>
    <row r="250" spans="1:8" ht="6" customHeight="1" x14ac:dyDescent="0.25">
      <c r="A250" s="1"/>
      <c r="B250" s="1"/>
      <c r="F250" s="1"/>
      <c r="G250" s="1"/>
      <c r="H250" s="1"/>
    </row>
    <row r="251" spans="1:8" x14ac:dyDescent="0.25">
      <c r="A251" s="1"/>
      <c r="B251" s="1"/>
      <c r="F251" s="1"/>
      <c r="G251" s="1"/>
      <c r="H251" s="1"/>
    </row>
    <row r="252" spans="1:8" x14ac:dyDescent="0.25">
      <c r="A252" s="1"/>
      <c r="B252" s="1"/>
      <c r="F252" s="1"/>
      <c r="G252" s="1"/>
      <c r="H252" s="1"/>
    </row>
    <row r="253" spans="1:8" x14ac:dyDescent="0.25">
      <c r="A253" s="1"/>
      <c r="B253" s="1"/>
      <c r="F253" s="1"/>
      <c r="G253" s="1"/>
      <c r="H253" s="1"/>
    </row>
    <row r="254" spans="1:8" x14ac:dyDescent="0.25">
      <c r="A254" s="1"/>
      <c r="B254" s="1"/>
      <c r="F254" s="1"/>
      <c r="G254" s="1"/>
      <c r="H254" s="1"/>
    </row>
    <row r="255" spans="1:8" x14ac:dyDescent="0.25">
      <c r="A255" s="1"/>
      <c r="B255" s="1"/>
      <c r="F255" s="1"/>
      <c r="G255" s="1"/>
      <c r="H255" s="1"/>
    </row>
    <row r="256" spans="1:8" x14ac:dyDescent="0.25">
      <c r="A256" s="1"/>
      <c r="B256" s="1"/>
      <c r="F256" s="1"/>
      <c r="G256" s="1"/>
      <c r="H256" s="1"/>
    </row>
    <row r="257" spans="1:8" x14ac:dyDescent="0.25">
      <c r="A257" s="1"/>
      <c r="B257" s="1"/>
      <c r="F257" s="1"/>
      <c r="G257" s="1"/>
      <c r="H257" s="1"/>
    </row>
  </sheetData>
  <sheetProtection password="C95B"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231" priority="42" stopIfTrue="1">
      <formula>$B54&lt;&gt;""</formula>
    </cfRule>
  </conditionalFormatting>
  <conditionalFormatting sqref="A48 H54:K54 H55:H56 H57:K57 A29:C29 J29 F29 A32 P29 G32 K32">
    <cfRule type="expression" dxfId="230" priority="48" stopIfTrue="1">
      <formula>A29&lt;&gt;""</formula>
    </cfRule>
  </conditionalFormatting>
  <conditionalFormatting sqref="G53:K54 G55:H56 G57:K57">
    <cfRule type="expression" dxfId="229" priority="43" stopIfTrue="1">
      <formula>$K$52&lt;&gt;"SIM"</formula>
    </cfRule>
  </conditionalFormatting>
  <conditionalFormatting sqref="A40:X43">
    <cfRule type="expression" dxfId="228" priority="56" stopIfTrue="1">
      <formula>OR(TipoOrçamento="BASE",TipoOrçamento="REPROGRAMADONPL")</formula>
    </cfRule>
    <cfRule type="expression" dxfId="227" priority="57" stopIfTrue="1">
      <formula>A40&lt;&gt;""</formula>
    </cfRule>
  </conditionalFormatting>
  <conditionalFormatting sqref="A35:X38">
    <cfRule type="expression" dxfId="226" priority="58" stopIfTrue="1">
      <formula>OR(TipoOrçamento="LICITADO",TipoOrçamento="REPROGRAMADOAC")</formula>
    </cfRule>
    <cfRule type="expression" dxfId="225" priority="59" stopIfTrue="1">
      <formula>A35&lt;&gt;""</formula>
    </cfRule>
  </conditionalFormatting>
  <conditionalFormatting sqref="Q32">
    <cfRule type="expression" dxfId="224"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7" zoomScaleNormal="100" zoomScaleSheetLayoutView="100" zoomScalePageLayoutView="70" workbookViewId="0">
      <selection activeCell="N23" sqref="N23"/>
    </sheetView>
  </sheetViews>
  <sheetFormatPr defaultColWidth="0" defaultRowHeight="13.2" zeroHeight="1" x14ac:dyDescent="0.25"/>
  <cols>
    <col min="1" max="1" width="30.33203125" style="52" hidden="1" customWidth="1"/>
    <col min="2" max="3" width="9.109375" style="52" hidden="1" customWidth="1"/>
    <col min="4" max="4" width="23.5546875" style="52" hidden="1" customWidth="1"/>
    <col min="5" max="8" width="9.109375" style="52" hidden="1" customWidth="1"/>
    <col min="9" max="14" width="10.6640625" style="52" customWidth="1"/>
    <col min="15" max="15" width="12.88671875" style="52" customWidth="1"/>
    <col min="16" max="18" width="10.6640625" style="52" customWidth="1"/>
    <col min="19" max="19" width="3.6640625" style="52" customWidth="1"/>
    <col min="20" max="20" width="29.5546875" style="52" customWidth="1"/>
    <col min="21" max="21" width="13.6640625" style="52" customWidth="1"/>
    <col min="22" max="16384" width="9.109375" style="52" hidden="1"/>
  </cols>
  <sheetData>
    <row r="1" spans="1:29" ht="15" customHeight="1" x14ac:dyDescent="0.3">
      <c r="E1" s="53" t="s">
        <v>25</v>
      </c>
      <c r="F1" s="53" t="s">
        <v>26</v>
      </c>
      <c r="G1" s="53" t="s">
        <v>27</v>
      </c>
      <c r="N1" s="56" t="str">
        <f ca="1">"Quadro de Composição do BDI "&amp;MID(CELL("nome.arquivo",N1),5+FIND("BDI (",CELL("nome.arquivo",N1)),1)</f>
        <v>Quadro de Composição do BDI 1</v>
      </c>
      <c r="Q1"/>
      <c r="R1"/>
    </row>
    <row r="2" spans="1:29" x14ac:dyDescent="0.25">
      <c r="A2" s="52" t="s">
        <v>28</v>
      </c>
      <c r="B2" s="54" t="s">
        <v>29</v>
      </c>
      <c r="C2" s="52" t="str">
        <f t="shared" ref="C2:C49" si="0">CONCATENATE(A2,"-",B2)</f>
        <v>Construção e Reforma de Edifícios-AC</v>
      </c>
      <c r="E2" s="55">
        <v>0.03</v>
      </c>
      <c r="F2" s="55">
        <v>0.04</v>
      </c>
      <c r="G2" s="55">
        <v>5.5E-2</v>
      </c>
      <c r="Q2"/>
      <c r="R2"/>
    </row>
    <row r="3" spans="1:29" x14ac:dyDescent="0.25">
      <c r="A3" s="52" t="str">
        <f>A2</f>
        <v>Construção e Reforma de Edifícios</v>
      </c>
      <c r="B3" s="54" t="s">
        <v>30</v>
      </c>
      <c r="C3" s="52" t="str">
        <f t="shared" si="0"/>
        <v>Construção e Reforma de Edifícios-SG</v>
      </c>
      <c r="E3" s="55">
        <v>8.0000000000000002E-3</v>
      </c>
      <c r="F3" s="55">
        <v>8.0000000000000002E-3</v>
      </c>
      <c r="G3" s="55">
        <v>0.01</v>
      </c>
    </row>
    <row r="4" spans="1:29" x14ac:dyDescent="0.25">
      <c r="A4" s="52" t="str">
        <f>A3</f>
        <v>Construção e Reforma de Edifícios</v>
      </c>
      <c r="B4" s="54" t="s">
        <v>31</v>
      </c>
      <c r="C4" s="52" t="str">
        <f t="shared" si="0"/>
        <v>Construção e Reforma de Edifícios-R</v>
      </c>
      <c r="E4" s="55">
        <v>9.7000000000000003E-3</v>
      </c>
      <c r="F4" s="55">
        <v>1.2699999999999999E-2</v>
      </c>
      <c r="G4" s="55">
        <v>1.2699999999999999E-2</v>
      </c>
      <c r="I4" s="239" t="s">
        <v>150</v>
      </c>
      <c r="J4" s="241"/>
      <c r="K4" s="239" t="s">
        <v>173</v>
      </c>
      <c r="L4" s="240"/>
      <c r="M4" s="240"/>
      <c r="N4" s="240"/>
      <c r="O4" s="240"/>
      <c r="P4" s="240"/>
      <c r="Q4" s="240"/>
      <c r="R4" s="241"/>
    </row>
    <row r="5" spans="1:29" ht="12.75" customHeight="1" x14ac:dyDescent="0.35">
      <c r="A5" s="52" t="str">
        <f>A4</f>
        <v>Construção e Reforma de Edifícios</v>
      </c>
      <c r="B5" s="54" t="s">
        <v>32</v>
      </c>
      <c r="C5" s="52" t="str">
        <f t="shared" si="0"/>
        <v>Construção e Reforma de Edifícios-DF</v>
      </c>
      <c r="E5" s="55">
        <v>5.8999999999999999E-3</v>
      </c>
      <c r="F5" s="55">
        <v>1.23E-2</v>
      </c>
      <c r="G5" s="55">
        <v>1.3899999999999999E-2</v>
      </c>
      <c r="I5" s="328">
        <f>DADOS!A29</f>
        <v>0</v>
      </c>
      <c r="J5" s="329"/>
      <c r="K5" s="330" t="str">
        <f>DADOS!A32</f>
        <v>MUNICIPIO DE BENTO GONÇALVES</v>
      </c>
      <c r="L5" s="331"/>
      <c r="M5" s="331"/>
      <c r="N5" s="331"/>
      <c r="O5" s="331"/>
      <c r="P5" s="331"/>
      <c r="Q5" s="331"/>
      <c r="R5" s="332"/>
      <c r="S5" s="57"/>
    </row>
    <row r="6" spans="1:29" ht="6" customHeight="1" x14ac:dyDescent="0.25">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5">
      <c r="A7" s="52" t="str">
        <f>A6</f>
        <v>Construção e Reforma de Edifícios</v>
      </c>
      <c r="B7" s="59" t="s">
        <v>33</v>
      </c>
      <c r="C7" s="52" t="str">
        <f t="shared" si="0"/>
        <v>Construção e Reforma de Edifícios-BDI PAD</v>
      </c>
      <c r="E7" s="55">
        <v>0.2034</v>
      </c>
      <c r="F7" s="55">
        <v>0.22120000000000001</v>
      </c>
      <c r="G7" s="55">
        <v>0.25</v>
      </c>
      <c r="I7" s="239" t="s">
        <v>0</v>
      </c>
      <c r="J7" s="240"/>
      <c r="K7" s="240"/>
      <c r="L7" s="240"/>
      <c r="M7" s="240"/>
      <c r="N7" s="240"/>
      <c r="O7" s="240"/>
      <c r="P7" s="240"/>
      <c r="Q7" s="240"/>
      <c r="R7" s="241"/>
    </row>
    <row r="8" spans="1:29" ht="24.75" customHeight="1" x14ac:dyDescent="0.25">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33" t="str">
        <f>DADOS!P29</f>
        <v>PAVIMENTAÇÃO BASÁLTICA RUA ARI DA SILVA</v>
      </c>
      <c r="J8" s="333"/>
      <c r="K8" s="333"/>
      <c r="L8" s="333"/>
      <c r="M8" s="333"/>
      <c r="N8" s="333"/>
      <c r="O8" s="333"/>
      <c r="P8" s="333"/>
      <c r="Q8" s="333"/>
      <c r="R8" s="333"/>
    </row>
    <row r="9" spans="1:29" ht="6" customHeight="1" x14ac:dyDescent="0.25">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5">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39" t="s">
        <v>35</v>
      </c>
      <c r="J10" s="240"/>
      <c r="K10" s="240"/>
      <c r="L10" s="240"/>
      <c r="M10" s="240"/>
      <c r="N10" s="240"/>
      <c r="O10" s="240"/>
      <c r="P10" s="240"/>
      <c r="Q10" s="239" t="s">
        <v>13</v>
      </c>
      <c r="R10" s="241"/>
    </row>
    <row r="11" spans="1:29" x14ac:dyDescent="0.25">
      <c r="A11" s="52" t="s">
        <v>34</v>
      </c>
      <c r="B11" s="54" t="s">
        <v>32</v>
      </c>
      <c r="C11" s="52" t="str">
        <f t="shared" si="0"/>
        <v>Construção de Praças Urbanas, Rodovias, Ferrovias e recapeamento e pavimentação de vias urbanas-DF</v>
      </c>
      <c r="E11" s="55">
        <v>1.0200000000000001E-2</v>
      </c>
      <c r="F11" s="55">
        <v>1.11E-2</v>
      </c>
      <c r="G11" s="55">
        <v>1.21E-2</v>
      </c>
      <c r="I11" s="323" t="s">
        <v>34</v>
      </c>
      <c r="J11" s="324"/>
      <c r="K11" s="324"/>
      <c r="L11" s="324"/>
      <c r="M11" s="324"/>
      <c r="N11" s="324"/>
      <c r="O11" s="324"/>
      <c r="P11" s="325"/>
      <c r="Q11" s="326" t="str">
        <f>DADOS!$C$38</f>
        <v>Não</v>
      </c>
      <c r="R11" s="327"/>
    </row>
    <row r="12" spans="1:29" x14ac:dyDescent="0.25">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5">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20" t="s">
        <v>36</v>
      </c>
      <c r="J13" s="320"/>
      <c r="K13" s="320"/>
      <c r="L13" s="320"/>
      <c r="M13" s="320"/>
      <c r="N13" s="320"/>
      <c r="O13" s="320"/>
      <c r="P13" s="320"/>
      <c r="Q13" s="317">
        <v>0.45</v>
      </c>
      <c r="R13" s="317"/>
    </row>
    <row r="14" spans="1:29" ht="15" customHeight="1" x14ac:dyDescent="0.25">
      <c r="A14" s="52" t="s">
        <v>37</v>
      </c>
      <c r="B14" s="54" t="s">
        <v>29</v>
      </c>
      <c r="C14" s="52" t="str">
        <f t="shared" si="0"/>
        <v>Construção de Redes de Abastecimento de Água, Coleta de Esgoto-AC</v>
      </c>
      <c r="E14" s="55">
        <v>3.4300000000000004E-2</v>
      </c>
      <c r="F14" s="55">
        <v>4.9299999999999997E-2</v>
      </c>
      <c r="G14" s="55">
        <v>6.7099999999999993E-2</v>
      </c>
      <c r="I14" s="318" t="s">
        <v>38</v>
      </c>
      <c r="J14" s="318"/>
      <c r="K14" s="318"/>
      <c r="L14" s="318"/>
      <c r="M14" s="318"/>
      <c r="N14" s="318"/>
      <c r="O14" s="318"/>
      <c r="P14" s="318"/>
      <c r="Q14" s="317">
        <v>0.03</v>
      </c>
      <c r="R14" s="317"/>
    </row>
    <row r="15" spans="1:29" x14ac:dyDescent="0.25">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5">
      <c r="B16" s="54"/>
      <c r="E16" s="55"/>
      <c r="F16" s="55"/>
      <c r="G16" s="55"/>
      <c r="I16" s="319" t="s">
        <v>39</v>
      </c>
      <c r="J16" s="319"/>
      <c r="K16" s="319"/>
      <c r="L16" s="319"/>
      <c r="M16" s="319" t="s">
        <v>40</v>
      </c>
      <c r="N16" s="322" t="s">
        <v>41</v>
      </c>
      <c r="O16" s="322" t="s">
        <v>42</v>
      </c>
      <c r="P16" s="321" t="s">
        <v>43</v>
      </c>
      <c r="Q16" s="321" t="s">
        <v>44</v>
      </c>
      <c r="R16" s="338" t="s">
        <v>45</v>
      </c>
      <c r="T16" s="334" t="str">
        <f>IF(V27,"Para BDI fora do intervalo estatístico, deve ser apresentado Relatório Técnico Circunstanciado justificando a adoção do percentual de cada parcela do BDI.","")</f>
        <v/>
      </c>
      <c r="U16" s="334"/>
      <c r="V16" s="108"/>
      <c r="W16" s="108"/>
      <c r="X16" s="108"/>
      <c r="Y16" s="108"/>
      <c r="Z16" s="108"/>
      <c r="AA16" s="108"/>
      <c r="AB16" s="108"/>
      <c r="AC16" s="108"/>
    </row>
    <row r="17" spans="1:31" ht="15.75" customHeight="1" x14ac:dyDescent="0.25">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19"/>
      <c r="J17" s="319"/>
      <c r="K17" s="319"/>
      <c r="L17" s="319"/>
      <c r="M17" s="319"/>
      <c r="N17" s="322"/>
      <c r="O17" s="322"/>
      <c r="P17" s="321"/>
      <c r="Q17" s="321"/>
      <c r="R17" s="338"/>
      <c r="T17" s="334"/>
      <c r="U17" s="334"/>
      <c r="V17" s="108"/>
      <c r="W17" s="108"/>
      <c r="X17" s="108"/>
      <c r="Y17" s="108"/>
      <c r="Z17" s="108"/>
      <c r="AA17" s="108"/>
      <c r="AB17" s="108"/>
      <c r="AC17" s="108"/>
    </row>
    <row r="18" spans="1:31" ht="26.25" customHeight="1" x14ac:dyDescent="0.25">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36" t="str">
        <f>IF($I$11=$A$59,"Encargos Sociais incidentes sobre a mão de obra","Administração Central")</f>
        <v>Administração Central</v>
      </c>
      <c r="J18" s="336"/>
      <c r="K18" s="336"/>
      <c r="L18" s="336"/>
      <c r="M18" s="60" t="str">
        <f>IF($I$11=$A$59,"K1","AC")</f>
        <v>AC</v>
      </c>
      <c r="N18" s="61">
        <v>4.2000000000000003E-2</v>
      </c>
      <c r="O18" s="62" t="s">
        <v>46</v>
      </c>
      <c r="P18" s="63">
        <f>VLOOKUP(CONCATENATE(I$11,"-",M18),$C$2:$G$49,3,FALSE)</f>
        <v>3.7999999999999999E-2</v>
      </c>
      <c r="Q18" s="63">
        <f>VLOOKUP(CONCATENATE(I$11,"-",M18),$C$2:$G$49,4,FALSE)</f>
        <v>4.0099999999999997E-2</v>
      </c>
      <c r="R18" s="63">
        <f>VLOOKUP(CONCATENATE(I$11,"-",M18),$C$2:$G$49,5,FALSE)</f>
        <v>4.6699999999999998E-2</v>
      </c>
      <c r="T18" s="334"/>
      <c r="U18" s="334"/>
      <c r="V18" s="108"/>
      <c r="W18" s="108"/>
      <c r="X18" s="108"/>
      <c r="Y18" s="108"/>
      <c r="Z18" s="108"/>
      <c r="AA18" s="108"/>
      <c r="AB18" s="108"/>
      <c r="AC18" s="108"/>
    </row>
    <row r="19" spans="1:31" ht="26.25" customHeight="1" x14ac:dyDescent="0.25">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36" t="str">
        <f>IF($I$11=$A$59,"Administração Central da empresa ou consultoria - overhead","Seguro e Garantia")</f>
        <v>Seguro e Garantia</v>
      </c>
      <c r="J19" s="336"/>
      <c r="K19" s="336"/>
      <c r="L19" s="336"/>
      <c r="M19" s="60" t="str">
        <f>IF($I$11=$A$59,"K2","SG")</f>
        <v>SG</v>
      </c>
      <c r="N19" s="61">
        <v>6.0000000000000001E-3</v>
      </c>
      <c r="O19" s="62" t="s">
        <v>46</v>
      </c>
      <c r="P19" s="63">
        <f>VLOOKUP(CONCATENATE(I$11,"-",M19),$C$2:$G$49,3,FALSE)</f>
        <v>3.2000000000000002E-3</v>
      </c>
      <c r="Q19" s="63">
        <f>VLOOKUP(CONCATENATE(I$11,"-",M19),$C$2:$G$49,4,FALSE)</f>
        <v>4.0000000000000001E-3</v>
      </c>
      <c r="R19" s="63">
        <f>VLOOKUP(CONCATENATE(I$11,"-",M19),$C$2:$G$49,5,FALSE)</f>
        <v>7.4000000000000003E-3</v>
      </c>
      <c r="T19" s="334"/>
      <c r="U19" s="334"/>
      <c r="V19" s="108"/>
      <c r="W19" s="108"/>
      <c r="X19" s="108"/>
      <c r="Y19" s="108"/>
      <c r="Z19" s="108"/>
      <c r="AA19" s="108"/>
      <c r="AB19" s="108"/>
      <c r="AC19" s="108"/>
    </row>
    <row r="20" spans="1:31" ht="26.25" customHeight="1" x14ac:dyDescent="0.25">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36" t="str">
        <f>IF($I$11=$A$59,"","Risco")</f>
        <v>Risco</v>
      </c>
      <c r="J20" s="336"/>
      <c r="K20" s="336"/>
      <c r="L20" s="336"/>
      <c r="M20" s="60" t="str">
        <f>IF($I$11=$A$59,"","R")</f>
        <v>R</v>
      </c>
      <c r="N20" s="61">
        <v>8.5000000000000006E-3</v>
      </c>
      <c r="O20" s="62" t="s">
        <v>46</v>
      </c>
      <c r="P20" s="63">
        <f>VLOOKUP(CONCATENATE(I$11,"-",M20),$C$2:$G$49,3,FALSE)</f>
        <v>5.0000000000000001E-3</v>
      </c>
      <c r="Q20" s="63">
        <f>VLOOKUP(CONCATENATE(I$11,"-",M20),$C$2:$G$49,4,FALSE)</f>
        <v>5.6000000000000008E-3</v>
      </c>
      <c r="R20" s="63">
        <f>VLOOKUP(CONCATENATE(I$11,"-",M20),$C$2:$G$49,5,FALSE)</f>
        <v>9.7000000000000003E-3</v>
      </c>
      <c r="T20" s="334"/>
      <c r="U20" s="334"/>
      <c r="V20" s="108"/>
      <c r="W20" s="108"/>
      <c r="X20" s="108"/>
      <c r="Y20" s="108"/>
      <c r="Z20" s="108"/>
      <c r="AA20" s="108"/>
      <c r="AB20" s="108"/>
      <c r="AC20" s="108"/>
    </row>
    <row r="21" spans="1:31" ht="26.25" customHeight="1" x14ac:dyDescent="0.25">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36" t="str">
        <f>IF($I$11=$A$59,"","Despesas Financeiras")</f>
        <v>Despesas Financeiras</v>
      </c>
      <c r="J21" s="336"/>
      <c r="K21" s="336"/>
      <c r="L21" s="336"/>
      <c r="M21" s="60" t="str">
        <f>IF($I$11=$A$59,"","DF")</f>
        <v>DF</v>
      </c>
      <c r="N21" s="61">
        <v>1.21E-2</v>
      </c>
      <c r="O21" s="62" t="s">
        <v>46</v>
      </c>
      <c r="P21" s="63">
        <f>VLOOKUP(CONCATENATE(I$11,"-",M21),$C$2:$G$49,3,FALSE)</f>
        <v>1.0200000000000001E-2</v>
      </c>
      <c r="Q21" s="63">
        <f>VLOOKUP(CONCATENATE(I$11,"-",M21),$C$2:$G$49,4,FALSE)</f>
        <v>1.11E-2</v>
      </c>
      <c r="R21" s="63">
        <f>VLOOKUP(CONCATENATE(I$11,"-",M21),$C$2:$G$49,5,FALSE)</f>
        <v>1.21E-2</v>
      </c>
      <c r="T21" s="334"/>
      <c r="U21" s="334"/>
    </row>
    <row r="22" spans="1:31" ht="26.25" customHeight="1" x14ac:dyDescent="0.25">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36" t="str">
        <f>IF($I$11=$A$59,"Margem bruta da empresa de consultoria","Lucro")</f>
        <v>Lucro</v>
      </c>
      <c r="J22" s="336"/>
      <c r="K22" s="336"/>
      <c r="L22" s="336"/>
      <c r="M22" s="60" t="str">
        <f>IF($I$11=$A$59,"K3","L")</f>
        <v>L</v>
      </c>
      <c r="N22" s="61">
        <v>8.5999999999999993E-2</v>
      </c>
      <c r="O22" s="62" t="s">
        <v>46</v>
      </c>
      <c r="P22" s="63">
        <f>VLOOKUP(CONCATENATE(I$11,"-",M22),$C$2:$G$49,3,FALSE)</f>
        <v>6.6400000000000001E-2</v>
      </c>
      <c r="Q22" s="63">
        <f>VLOOKUP(CONCATENATE(I$11,"-",M22),$C$2:$G$49,4,FALSE)</f>
        <v>7.2999999999999995E-2</v>
      </c>
      <c r="R22" s="63">
        <f>VLOOKUP(CONCATENATE(I$11,"-",M22),$C$2:$G$49,5,FALSE)</f>
        <v>8.6899999999999991E-2</v>
      </c>
      <c r="T22" s="334"/>
      <c r="U22" s="334"/>
    </row>
    <row r="23" spans="1:31" ht="26.25" customHeight="1" x14ac:dyDescent="0.25">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7" t="s">
        <v>48</v>
      </c>
      <c r="J23" s="337"/>
      <c r="K23" s="337"/>
      <c r="L23" s="337"/>
      <c r="M23" s="60" t="s">
        <v>49</v>
      </c>
      <c r="N23" s="61">
        <v>3.4700000000000002E-2</v>
      </c>
      <c r="O23" s="62" t="s">
        <v>46</v>
      </c>
      <c r="P23" s="63">
        <v>3.6499999999999998E-2</v>
      </c>
      <c r="Q23" s="63">
        <v>3.6499999999999998E-2</v>
      </c>
      <c r="R23" s="63">
        <v>3.6499999999999998E-2</v>
      </c>
      <c r="T23" s="334"/>
      <c r="U23" s="334"/>
    </row>
    <row r="24" spans="1:31" ht="26.25" customHeight="1" x14ac:dyDescent="0.25">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36" t="s">
        <v>50</v>
      </c>
      <c r="J24" s="336"/>
      <c r="K24" s="336"/>
      <c r="L24" s="336"/>
      <c r="M24" s="60" t="s">
        <v>51</v>
      </c>
      <c r="N24" s="63">
        <f>IF($I$11&lt;&gt;$A$58,Q14*Q13,0)</f>
        <v>1.35E-2</v>
      </c>
      <c r="O24" s="62" t="s">
        <v>46</v>
      </c>
      <c r="P24" s="63">
        <v>0</v>
      </c>
      <c r="Q24" s="63">
        <v>2.5000000000000001E-2</v>
      </c>
      <c r="R24" s="63">
        <v>0.05</v>
      </c>
      <c r="T24" s="334"/>
      <c r="U24" s="334"/>
    </row>
    <row r="25" spans="1:31" ht="26.25" customHeight="1" x14ac:dyDescent="0.25">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36" t="s">
        <v>116</v>
      </c>
      <c r="J25" s="336"/>
      <c r="K25" s="336"/>
      <c r="L25" s="336"/>
      <c r="M25" s="60" t="s">
        <v>52</v>
      </c>
      <c r="N25" s="63">
        <f>IF(AND($I$11&lt;&gt;$A$58,Q11="Sim"),4.5%,0%)</f>
        <v>0</v>
      </c>
      <c r="O25" s="62" t="str">
        <f>IF(AND(N25&gt;=P25, N25&lt;=R25), "OK", "Não OK")</f>
        <v>OK</v>
      </c>
      <c r="P25" s="64">
        <v>0</v>
      </c>
      <c r="Q25" s="64">
        <v>4.4999999999999998E-2</v>
      </c>
      <c r="R25" s="64">
        <v>4.4999999999999998E-2</v>
      </c>
    </row>
    <row r="26" spans="1:31" ht="30.75" customHeight="1" x14ac:dyDescent="0.3">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36" t="s">
        <v>53</v>
      </c>
      <c r="J26" s="336"/>
      <c r="K26" s="336"/>
      <c r="L26" s="336"/>
      <c r="M26" s="65" t="s">
        <v>33</v>
      </c>
      <c r="N26" s="63">
        <f>IF($I$11=$A$58,0,ROUND((((1+N18+N19+N20)*(1+N21)*(1+N22)/(1-(N23+N24)))-1),4))</f>
        <v>0.22</v>
      </c>
      <c r="O26" s="106"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3">
      <c r="A27" s="52" t="s">
        <v>54</v>
      </c>
      <c r="B27" s="54" t="s">
        <v>29</v>
      </c>
      <c r="C27" s="52" t="str">
        <f t="shared" si="0"/>
        <v>Obras Portuárias, Marítimas e Fluviais-AC</v>
      </c>
      <c r="E27" s="55">
        <v>0.04</v>
      </c>
      <c r="F27" s="55">
        <v>5.5199999999999999E-2</v>
      </c>
      <c r="G27" s="55">
        <v>7.85E-2</v>
      </c>
      <c r="I27" s="347" t="s">
        <v>55</v>
      </c>
      <c r="J27" s="347"/>
      <c r="K27" s="347"/>
      <c r="L27" s="347"/>
      <c r="M27" s="66" t="s">
        <v>56</v>
      </c>
      <c r="N27" s="67">
        <f>IF($I$11=$A$58,0,ROUND((((1+N18+N19+N20)*(1+N21)*(1+N22)/(1-(N23+N24+N25)))-1),4))</f>
        <v>0.22</v>
      </c>
      <c r="O27" s="110" t="str">
        <f>IF(Q11&lt;&gt;"Sim","",O26)</f>
        <v/>
      </c>
      <c r="P27" s="348"/>
      <c r="Q27" s="348"/>
      <c r="R27" s="348"/>
      <c r="T27" s="107"/>
      <c r="V27" s="111" t="b">
        <f>AND(COUNTA(N18:N23)=6,O26&lt;&gt;"ok",NOT(V29))</f>
        <v>0</v>
      </c>
      <c r="W27" s="52" t="s">
        <v>118</v>
      </c>
    </row>
    <row r="28" spans="1:31" ht="7.5" customHeight="1" x14ac:dyDescent="0.25">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5">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46" t="s">
        <v>117</v>
      </c>
      <c r="K29" s="346"/>
      <c r="L29" s="346"/>
      <c r="M29" s="346"/>
      <c r="N29" s="346"/>
      <c r="O29" s="346"/>
      <c r="P29" s="346"/>
      <c r="Q29" s="346"/>
      <c r="R29" s="346"/>
      <c r="V29" s="111" t="b">
        <v>0</v>
      </c>
      <c r="W29" s="52" t="s">
        <v>119</v>
      </c>
    </row>
    <row r="30" spans="1:31" ht="7.5" customHeight="1" x14ac:dyDescent="0.25">
      <c r="B30" s="54"/>
      <c r="E30" s="55"/>
      <c r="F30" s="55"/>
      <c r="G30" s="55"/>
      <c r="V30" s="111"/>
    </row>
    <row r="31" spans="1:31" ht="18.75" customHeight="1" x14ac:dyDescent="0.25">
      <c r="B31" s="54"/>
      <c r="E31" s="55"/>
      <c r="F31" s="55"/>
      <c r="G31" s="55"/>
      <c r="I31" s="349" t="s">
        <v>61</v>
      </c>
      <c r="J31" s="349"/>
      <c r="K31" s="349"/>
      <c r="L31" s="349"/>
      <c r="M31" s="349"/>
      <c r="N31" s="349"/>
      <c r="O31" s="349"/>
      <c r="P31" s="349"/>
      <c r="Q31" s="349"/>
      <c r="R31" s="349"/>
    </row>
    <row r="32" spans="1:31" ht="30" customHeight="1" x14ac:dyDescent="0.3">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44" t="str">
        <f>IF(Q11="Sim","BDI.DES =","BDI.PAD =")</f>
        <v>BDI.PAD =</v>
      </c>
      <c r="M32" s="342" t="str">
        <f>IF($I$11=$A$59,"(1+K1+K2)*(1+K3)","(1+AC + S + R + G)*(1 + DF)*(1+L)")</f>
        <v>(1+AC + S + R + G)*(1 + DF)*(1+L)</v>
      </c>
      <c r="N32" s="342"/>
      <c r="O32" s="342"/>
      <c r="P32" s="340" t="s">
        <v>108</v>
      </c>
      <c r="Q32" s="100"/>
      <c r="R32" s="100"/>
    </row>
    <row r="33" spans="1:18" ht="27" customHeight="1" x14ac:dyDescent="0.25">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44"/>
      <c r="M33" s="343" t="str">
        <f>IF(Q11="Sim","(1-CP-ISS-CRPB)","(1-CP-ISS)")</f>
        <v>(1-CP-ISS)</v>
      </c>
      <c r="N33" s="343"/>
      <c r="O33" s="343"/>
      <c r="P33" s="341"/>
      <c r="Q33" s="100"/>
      <c r="R33" s="100"/>
    </row>
    <row r="34" spans="1:18" ht="7.5" customHeight="1" x14ac:dyDescent="0.25">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5">
      <c r="B35" s="59"/>
      <c r="E35" s="55"/>
      <c r="F35" s="55"/>
      <c r="G35" s="55"/>
      <c r="I35" s="339"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45%, com a respectiva alíquota de 3%.</v>
      </c>
      <c r="J35" s="339"/>
      <c r="K35" s="339"/>
      <c r="L35" s="339"/>
      <c r="M35" s="339"/>
      <c r="N35" s="339"/>
      <c r="O35" s="339"/>
      <c r="P35" s="339"/>
      <c r="Q35" s="339"/>
      <c r="R35" s="339"/>
    </row>
    <row r="36" spans="1:18" ht="11.25" customHeight="1" x14ac:dyDescent="0.25">
      <c r="B36" s="59"/>
      <c r="E36" s="55"/>
      <c r="F36" s="55"/>
      <c r="G36" s="55"/>
    </row>
    <row r="37" spans="1:18" ht="52.5" customHeight="1" x14ac:dyDescent="0.25">
      <c r="B37" s="59"/>
      <c r="E37" s="55"/>
      <c r="F37" s="55"/>
      <c r="G37" s="55"/>
      <c r="I37" s="339"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39"/>
      <c r="K37" s="339"/>
      <c r="L37" s="339"/>
      <c r="M37" s="339"/>
      <c r="N37" s="339"/>
      <c r="O37" s="339"/>
      <c r="P37" s="339"/>
      <c r="Q37" s="339"/>
      <c r="R37" s="339"/>
    </row>
    <row r="38" spans="1:18" ht="18" customHeight="1" x14ac:dyDescent="0.25">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5">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5">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51" t="s">
        <v>235</v>
      </c>
      <c r="J40" s="352"/>
      <c r="K40" s="352"/>
      <c r="L40" s="352"/>
      <c r="M40" s="352"/>
      <c r="N40" s="352"/>
      <c r="O40" s="352"/>
      <c r="P40" s="352"/>
      <c r="Q40" s="352"/>
      <c r="R40" s="353"/>
    </row>
    <row r="41" spans="1:18" ht="16.5" customHeight="1" x14ac:dyDescent="0.25">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5">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5" t="str">
        <f>PO!K38</f>
        <v>BENTO GONÇALVES/RS</v>
      </c>
      <c r="J42" s="335"/>
      <c r="K42" s="335"/>
      <c r="L42" s="335"/>
      <c r="O42" s="350">
        <f ca="1">PO!K41</f>
        <v>45684</v>
      </c>
      <c r="P42" s="350"/>
      <c r="Q42" s="350"/>
      <c r="R42" s="350"/>
    </row>
    <row r="43" spans="1:18" ht="15" customHeight="1" x14ac:dyDescent="0.25">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16" t="s">
        <v>120</v>
      </c>
      <c r="J43" s="316"/>
      <c r="K43" s="316"/>
      <c r="L43" s="316"/>
      <c r="N43" s="68"/>
      <c r="O43" s="144" t="s">
        <v>121</v>
      </c>
      <c r="P43" s="145"/>
      <c r="Q43" s="145"/>
      <c r="R43" s="145"/>
    </row>
    <row r="44" spans="1:18" x14ac:dyDescent="0.25">
      <c r="A44" s="52" t="s">
        <v>59</v>
      </c>
      <c r="B44" s="54" t="s">
        <v>104</v>
      </c>
      <c r="C44" s="52" t="str">
        <f t="shared" si="0"/>
        <v>Estudos e Projetos, Planos e Gerenciamento e outros correlatos-K1</v>
      </c>
      <c r="E44" s="55" t="s">
        <v>46</v>
      </c>
      <c r="F44" s="55" t="s">
        <v>46</v>
      </c>
      <c r="G44" s="55" t="s">
        <v>46</v>
      </c>
    </row>
    <row r="45" spans="1:18" ht="30" customHeight="1" x14ac:dyDescent="0.25">
      <c r="A45" s="52" t="str">
        <f>A44</f>
        <v>Estudos e Projetos, Planos e Gerenciamento e outros correlatos</v>
      </c>
      <c r="B45" s="54" t="s">
        <v>105</v>
      </c>
      <c r="C45" s="52" t="str">
        <f t="shared" si="0"/>
        <v>Estudos e Projetos, Planos e Gerenciamento e outros correlatos-K2</v>
      </c>
      <c r="E45" s="55" t="s">
        <v>46</v>
      </c>
      <c r="F45" s="55">
        <v>0.2</v>
      </c>
      <c r="G45" s="55" t="s">
        <v>46</v>
      </c>
      <c r="I45" s="315"/>
      <c r="J45" s="315"/>
      <c r="K45" s="315"/>
      <c r="L45" s="315"/>
      <c r="M45" s="69"/>
      <c r="N45" s="69"/>
      <c r="O45" s="315"/>
      <c r="P45" s="315"/>
      <c r="Q45" s="315"/>
      <c r="R45" s="315"/>
    </row>
    <row r="46" spans="1:18" x14ac:dyDescent="0.25">
      <c r="A46" s="52" t="str">
        <f>A45</f>
        <v>Estudos e Projetos, Planos e Gerenciamento e outros correlatos</v>
      </c>
      <c r="B46" s="54" t="s">
        <v>106</v>
      </c>
      <c r="C46" s="52" t="str">
        <f t="shared" si="0"/>
        <v>Estudos e Projetos, Planos e Gerenciamento e outros correlatos-</v>
      </c>
      <c r="E46" s="55" t="s">
        <v>46</v>
      </c>
      <c r="F46" s="55" t="s">
        <v>46</v>
      </c>
      <c r="G46" s="55" t="s">
        <v>46</v>
      </c>
      <c r="I46" s="354" t="s">
        <v>57</v>
      </c>
      <c r="J46" s="354"/>
      <c r="K46" s="354"/>
      <c r="L46" s="354"/>
      <c r="M46" s="70"/>
      <c r="N46" s="70"/>
      <c r="O46" s="354" t="s">
        <v>58</v>
      </c>
      <c r="P46" s="354"/>
      <c r="Q46" s="354"/>
      <c r="R46" s="354"/>
    </row>
    <row r="47" spans="1:18" ht="13.8" x14ac:dyDescent="0.25">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45">
        <f>DADOS!B54</f>
        <v>0</v>
      </c>
      <c r="K47" s="345"/>
      <c r="L47" s="345"/>
      <c r="M47" s="71"/>
      <c r="N47" s="71"/>
      <c r="O47" s="29" t="s">
        <v>140</v>
      </c>
      <c r="P47" s="314" t="s">
        <v>243</v>
      </c>
      <c r="Q47" s="314"/>
      <c r="R47" s="314"/>
    </row>
    <row r="48" spans="1:18" ht="13.8" x14ac:dyDescent="0.25">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45">
        <f>DADOS!B55</f>
        <v>0</v>
      </c>
      <c r="K48" s="345"/>
      <c r="L48" s="345"/>
      <c r="M48" s="71"/>
      <c r="N48" s="71"/>
      <c r="O48" s="29" t="s">
        <v>60</v>
      </c>
      <c r="P48" s="314" t="s">
        <v>231</v>
      </c>
      <c r="Q48" s="314"/>
      <c r="R48" s="314"/>
    </row>
    <row r="49" spans="1:18" ht="13.8" x14ac:dyDescent="0.25">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45">
        <f>DADOS!B56</f>
        <v>0</v>
      </c>
      <c r="K49" s="345"/>
      <c r="L49" s="345"/>
      <c r="M49" s="71"/>
      <c r="N49" s="71"/>
      <c r="O49" s="71"/>
      <c r="P49" s="71"/>
      <c r="Q49" s="71"/>
      <c r="R49" s="71"/>
    </row>
    <row r="50" spans="1:18" x14ac:dyDescent="0.25">
      <c r="I50" s="29" t="str">
        <f>DADOS!A57</f>
        <v>CNPJ:</v>
      </c>
      <c r="J50" s="345">
        <f>DADOS!B57</f>
        <v>0</v>
      </c>
      <c r="K50" s="345"/>
      <c r="L50" s="345"/>
    </row>
    <row r="51" spans="1:18" x14ac:dyDescent="0.25"/>
    <row r="52" spans="1:18" hidden="1" x14ac:dyDescent="0.25">
      <c r="A52" s="52" t="s">
        <v>28</v>
      </c>
    </row>
    <row r="53" spans="1:18" hidden="1" x14ac:dyDescent="0.25">
      <c r="A53" s="52" t="s">
        <v>34</v>
      </c>
    </row>
    <row r="54" spans="1:18" hidden="1" x14ac:dyDescent="0.25">
      <c r="A54" s="52" t="s">
        <v>37</v>
      </c>
    </row>
    <row r="55" spans="1:18" hidden="1" x14ac:dyDescent="0.25">
      <c r="A55" s="52" t="s">
        <v>47</v>
      </c>
    </row>
    <row r="56" spans="1:18" hidden="1" x14ac:dyDescent="0.25">
      <c r="A56" s="52" t="s">
        <v>54</v>
      </c>
    </row>
    <row r="57" spans="1:18" hidden="1" x14ac:dyDescent="0.25">
      <c r="A57" s="52" t="s">
        <v>137</v>
      </c>
    </row>
    <row r="58" spans="1:18" hidden="1" x14ac:dyDescent="0.25">
      <c r="A58" s="52" t="s">
        <v>138</v>
      </c>
    </row>
    <row r="59" spans="1:18" hidden="1" x14ac:dyDescent="0.25">
      <c r="A59" s="52" t="s">
        <v>59</v>
      </c>
    </row>
    <row r="60" spans="1:18" ht="13.8" hidden="1" x14ac:dyDescent="0.25">
      <c r="A60" s="72"/>
      <c r="B60" s="71"/>
      <c r="C60" s="71"/>
      <c r="D60" s="71"/>
      <c r="E60" s="71"/>
      <c r="F60" s="71"/>
      <c r="G60" s="71"/>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223" priority="6" stopIfTrue="1">
      <formula>$O$42=""</formula>
    </cfRule>
  </conditionalFormatting>
  <conditionalFormatting sqref="O18:O27">
    <cfRule type="expression" dxfId="222" priority="11" stopIfTrue="1">
      <formula>AND(O18&lt;&gt;"OK",O18&lt;&gt;"-",O18&lt;&gt;"")</formula>
    </cfRule>
    <cfRule type="cellIs" dxfId="221" priority="12" stopIfTrue="1" operator="equal">
      <formula>"OK"</formula>
    </cfRule>
  </conditionalFormatting>
  <conditionalFormatting sqref="I26:N26">
    <cfRule type="expression" dxfId="220" priority="10" stopIfTrue="1">
      <formula>$Q$11="Não"</formula>
    </cfRule>
  </conditionalFormatting>
  <conditionalFormatting sqref="I27:N27">
    <cfRule type="expression" dxfId="219" priority="9" stopIfTrue="1">
      <formula>$Q$11="sim"</formula>
    </cfRule>
  </conditionalFormatting>
  <conditionalFormatting sqref="P27:R27">
    <cfRule type="expression" dxfId="218" priority="8" stopIfTrue="1">
      <formula>$Q$11="sim"</formula>
    </cfRule>
  </conditionalFormatting>
  <conditionalFormatting sqref="P47:R48">
    <cfRule type="expression" dxfId="217" priority="7" stopIfTrue="1">
      <formula>P47=""</formula>
    </cfRule>
  </conditionalFormatting>
  <conditionalFormatting sqref="I29:R29">
    <cfRule type="expression" dxfId="216" priority="3" stopIfTrue="1">
      <formula>AND(NOT($V$27),NOT($V$29))</formula>
    </cfRule>
  </conditionalFormatting>
  <conditionalFormatting sqref="P18:R26">
    <cfRule type="expression" dxfId="215"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42"/>
  <sheetViews>
    <sheetView showGridLines="0" tabSelected="1" topLeftCell="K1" zoomScale="80" zoomScaleNormal="80" zoomScaleSheetLayoutView="80" workbookViewId="0">
      <pane ySplit="12" topLeftCell="A16" activePane="bottomLeft" state="frozen"/>
      <selection pane="bottomLeft" activeCell="Y13" sqref="Y13:Y26"/>
    </sheetView>
  </sheetViews>
  <sheetFormatPr defaultRowHeight="13.2" x14ac:dyDescent="0.25"/>
  <cols>
    <col min="1" max="2" width="6.6640625" hidden="1" customWidth="1"/>
    <col min="3" max="7" width="5.6640625" hidden="1" customWidth="1"/>
    <col min="8" max="9" width="6.6640625" hidden="1" customWidth="1"/>
    <col min="10" max="10" width="8.6640625" customWidth="1"/>
    <col min="11" max="11" width="12.6640625" customWidth="1"/>
    <col min="12" max="13" width="15.6640625" customWidth="1"/>
    <col min="14" max="14" width="105.77734375" customWidth="1"/>
    <col min="15" max="15" width="10.6640625" customWidth="1"/>
    <col min="16" max="17" width="15.6640625" customWidth="1"/>
    <col min="18" max="18" width="10.6640625" hidden="1" customWidth="1"/>
    <col min="19" max="19" width="15.6640625" hidden="1" customWidth="1"/>
    <col min="20" max="21" width="15.6640625" customWidth="1"/>
    <col min="22" max="22" width="9.109375" hidden="1" customWidth="1"/>
    <col min="23" max="23" width="15.6640625" hidden="1" customWidth="1"/>
    <col min="24" max="24" width="20.6640625" hidden="1" customWidth="1"/>
    <col min="25" max="25" width="15.6640625" customWidth="1"/>
  </cols>
  <sheetData>
    <row r="1" spans="1:27" ht="12.9" customHeight="1" x14ac:dyDescent="0.25">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5">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5" t="s">
        <v>181</v>
      </c>
      <c r="X2" s="355"/>
      <c r="Y2" s="4"/>
      <c r="Z2" s="4"/>
      <c r="AA2" s="4"/>
    </row>
    <row r="3" spans="1:27" ht="12.75" customHeight="1" x14ac:dyDescent="0.25">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 customHeight="1" x14ac:dyDescent="0.25">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 customHeight="1" x14ac:dyDescent="0.25">
      <c r="A5" s="9">
        <f>MAX($A$12:$A$27)</f>
        <v>1</v>
      </c>
      <c r="B5" s="4"/>
      <c r="D5" s="117"/>
      <c r="F5" s="5"/>
      <c r="G5" s="4"/>
      <c r="H5" s="4"/>
      <c r="I5" s="4"/>
      <c r="J5" s="4"/>
      <c r="K5" s="4"/>
      <c r="L5" s="4"/>
      <c r="M5" s="4"/>
      <c r="N5" s="4"/>
      <c r="O5" s="4"/>
      <c r="P5" s="4"/>
      <c r="Q5" s="4"/>
      <c r="R5" s="4"/>
      <c r="S5" s="4"/>
      <c r="T5" s="4"/>
      <c r="U5" s="119" t="str">
        <f ca="1">IF(COUNTIF($U$12:OFFSET($U$27,-1,0),"DESCRIÇÃO")+COUNTIF($U$12:OFFSET($U$27,-1,0),"UNIDADE")+COUNTIF($U$12:OFFSET($U$27,-1,0),"SEM VALOR")&gt;0,"NÃO OK","OK")</f>
        <v>NÃO OK</v>
      </c>
      <c r="V5" s="212" t="s">
        <v>106</v>
      </c>
      <c r="W5" s="211" t="s">
        <v>183</v>
      </c>
      <c r="X5" s="214" t="b">
        <v>1</v>
      </c>
      <c r="Y5" s="4"/>
      <c r="Z5" s="4"/>
      <c r="AA5" s="4"/>
    </row>
    <row r="6" spans="1:27" ht="24.9" customHeight="1" x14ac:dyDescent="0.25">
      <c r="A6" s="4"/>
      <c r="B6" s="4"/>
      <c r="D6" s="117"/>
      <c r="F6" s="5"/>
      <c r="G6" s="4"/>
      <c r="H6" s="4"/>
      <c r="I6" s="4"/>
      <c r="J6" s="4"/>
      <c r="K6" s="82"/>
      <c r="L6" s="4"/>
      <c r="M6" s="4"/>
      <c r="N6" s="4"/>
      <c r="O6" s="4"/>
      <c r="P6" s="4"/>
      <c r="Q6" s="4"/>
      <c r="R6" s="4"/>
      <c r="S6" s="4"/>
      <c r="T6" s="4"/>
      <c r="U6" s="4"/>
      <c r="V6" s="4"/>
      <c r="W6" s="211" t="s">
        <v>184</v>
      </c>
      <c r="X6" s="214" t="b">
        <v>1</v>
      </c>
      <c r="Y6" s="4"/>
      <c r="Z6" s="4"/>
      <c r="AA6" s="4"/>
    </row>
    <row r="7" spans="1:27" ht="24.9" customHeight="1" x14ac:dyDescent="0.25">
      <c r="A7" s="4"/>
      <c r="B7" s="4"/>
      <c r="C7" s="20"/>
      <c r="D7" s="117"/>
      <c r="E7" s="5"/>
      <c r="F7" s="5"/>
      <c r="G7" s="4"/>
      <c r="H7" s="4"/>
      <c r="I7" s="4"/>
      <c r="J7" s="4"/>
      <c r="K7" s="82"/>
      <c r="L7" s="4"/>
      <c r="M7" s="4"/>
      <c r="N7" s="4"/>
      <c r="O7" s="4"/>
      <c r="P7" s="4"/>
      <c r="Q7" s="4"/>
      <c r="R7" s="4"/>
      <c r="S7" s="4"/>
      <c r="T7" s="4"/>
      <c r="U7" s="4"/>
      <c r="V7" s="4"/>
      <c r="W7" s="211" t="s">
        <v>185</v>
      </c>
      <c r="X7" s="214" t="b">
        <v>1</v>
      </c>
      <c r="Y7" s="4"/>
      <c r="Z7" s="4"/>
      <c r="AA7" s="4"/>
    </row>
    <row r="8" spans="1:27" ht="30" customHeight="1" x14ac:dyDescent="0.25">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5">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5">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idden="1" x14ac:dyDescent="0.25">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IF(OR($A11="S",$A11=0),0,MATCH(0,OFFSET($B11,1,$A11,ROW($A$27)-ROW($A11)),0))</f>
        <v>0</v>
      </c>
      <c r="I11">
        <f ca="1">IF(OR($A11="S",$A11=0),0,MATCH(OFFSET($B11,0,$A11)+1,OFFSET($B11,1,$A11,ROW($A$27)-ROW($A11)),0))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0.22</v>
      </c>
      <c r="AA11" s="4"/>
    </row>
    <row r="12" spans="1:27" x14ac:dyDescent="0.25">
      <c r="A12">
        <v>0</v>
      </c>
      <c r="B12">
        <f ca="1">COUNTA(OFFSET(B12,1,0):B$27)</f>
        <v>14</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SUMIF(OFFSET($J12,1,0,ROW(T27)-ROW(T12)-1),"Serviço",OFFSET(T12,1,0,ROW(T27)-ROW(T12)-1))</f>
        <v>0</v>
      </c>
      <c r="U12" s="13" t="str">
        <f>IF($N12=0,"DESCRIÇÃO","")</f>
        <v>DESCRIÇÃO</v>
      </c>
      <c r="V12" s="4">
        <v>0</v>
      </c>
      <c r="W12" s="4"/>
      <c r="X12" s="4"/>
      <c r="Y12" s="11"/>
      <c r="Z12" s="133"/>
      <c r="AA12" s="4"/>
    </row>
    <row r="13" spans="1:27" x14ac:dyDescent="0.25">
      <c r="A13">
        <f t="shared" ref="A13:A26" si="0">CHOOSE(1+LOG(1+2*(J13="Meta")+4*(J13="Nível 2")+8*(J13="Nível 3")+16*(J13="Nível 4")+32*(J13="Serviço"),2),0,1,2,3,4,"S")</f>
        <v>1</v>
      </c>
      <c r="B13">
        <f t="shared" ref="B13:B26" ca="1" si="1">IF(OR(A13="S",A13=0),0,IF(ISERROR(I13),H13,SMALL(H13:I13,1)))</f>
        <v>2</v>
      </c>
      <c r="C13">
        <f t="shared" ref="C13:C26" ca="1" si="2">IF($A13=1,OFFSET(C13,-1,0)+1,OFFSET(C13,-1,0))</f>
        <v>1</v>
      </c>
      <c r="D13">
        <f t="shared" ref="D13:D26" ca="1" si="3">IF($A13=1,0,IF($A13=2,OFFSET(D13,-1,0)+1,OFFSET(D13,-1,0)))</f>
        <v>0</v>
      </c>
      <c r="E13">
        <f t="shared" ref="E13:E26" ca="1" si="4">IF(AND($A13&lt;=2,$A13&lt;&gt;0),0,IF($A13=3,OFFSET(E13,-1,0)+1,OFFSET(E13,-1,0)))</f>
        <v>0</v>
      </c>
      <c r="F13">
        <f t="shared" ref="F13:F26" ca="1" si="5">IF(AND($A13&lt;=3,$A13&lt;&gt;0),0,IF($A13=4,OFFSET(F13,-1,0)+1,OFFSET(F13,-1,0)))</f>
        <v>0</v>
      </c>
      <c r="G13">
        <f t="shared" ref="G13:G26" ca="1" si="6">IF(AND($A13&lt;=4,$A13&lt;&gt;0),0,IF($A13="S",OFFSET(G13,-1,0)+1,OFFSET(G13,-1,0)))</f>
        <v>0</v>
      </c>
      <c r="H13">
        <f ca="1">IF(OR($A13="S",$A13=0),0,MATCH(0,OFFSET($B13,1,$A13,ROW($A$27)-ROW($A13)),0))</f>
        <v>14</v>
      </c>
      <c r="I13">
        <f ca="1">IF(OR($A13="S",$A13=0),0,MATCH(OFFSET($B13,0,$A13)+1,OFFSET($B13,1,$A13,ROW($A$27)-ROW($A13)),0))</f>
        <v>2</v>
      </c>
      <c r="J13" s="164" t="s">
        <v>99</v>
      </c>
      <c r="K13" s="162" t="str">
        <f t="shared" ref="K13:K26" ca="1" si="7">IF($A13=0,"-",CONCATENATE(C13&amp;".",IF(AND($A$5&gt;=2,$A13&gt;=2),D13&amp;".",""),IF(AND($A$5&gt;=3,$A13&gt;=3),E13&amp;".",""),IF(AND($A$5&gt;=4,$A13&gt;=4),F13&amp;".",""),IF($A13="S",G13&amp;".","")))</f>
        <v>1.</v>
      </c>
      <c r="L13" s="394"/>
      <c r="M13" s="394"/>
      <c r="N13" s="395" t="s">
        <v>233</v>
      </c>
      <c r="O13" s="396"/>
      <c r="P13" s="397">
        <v>0</v>
      </c>
      <c r="Q13" s="228"/>
      <c r="R13" s="231" t="s">
        <v>7</v>
      </c>
      <c r="S13" s="121">
        <f t="shared" ref="S13:S26" si="8">IF($A13="S",IF($Q$10="Preço Unitário (R$)",PO.CustoUnitario,ROUND(PO.CustoUnitario*(1+$Z13),15-13*$X$6)),0)</f>
        <v>0</v>
      </c>
      <c r="T13" s="98">
        <f t="shared" ref="T13:T26" ca="1" si="9">IF($A13="S",VTOTAL1,IF($A13=0,0,ROUND(SomaAgrup,15-13*$X$7)))</f>
        <v>0</v>
      </c>
      <c r="U13" s="13" t="str">
        <f t="shared" ref="U13:U26" ca="1" si="10">IF($J13="","",IF($N13="","DESCRIÇÃO",IF(AND($J13="Serviço",$O13=""),"UNIDADE",IF($T13&lt;=0,"SEM VALOR",IF(AND($Y13&lt;&gt;"",$Q13&gt;$Y13),"ACIMA REF.","")))))</f>
        <v>SEM VALOR</v>
      </c>
      <c r="V13" s="4">
        <f ca="1">IF(OR($A13=0,$A13="S",$A13&gt;CFF!$A$9),"",MAX(V$12:OFFSET(V13,-1,0))+1)</f>
        <v>1</v>
      </c>
      <c r="W13" s="9" t="b">
        <f t="shared" ref="W13:W26" si="11">IF(AND($J13="Serviço",$M13&lt;&gt;""),IF($L13="",$M13,CONCATENATE($L13,"-",$M13)))</f>
        <v>0</v>
      </c>
      <c r="X13" s="4" t="str">
        <f t="shared" ref="X13:X26" ca="1" si="12">IF(AND(Fonte&lt;&gt;"",Código&lt;&gt;""),MATCH(Fonte&amp;" "&amp;IF(Fonte="sinapi",SUBSTITUTE(SUBSTITUTE(Código,"/00","/"),"/0","/"),Código),INDIRECT("'[Referência "&amp;_xlnm.Database&amp;".xls]Banco'!$a:$a"),0),"X")</f>
        <v>X</v>
      </c>
      <c r="Y13" s="121">
        <v>0</v>
      </c>
      <c r="Z13" s="132">
        <f ca="1">ROUND(IF(ISNUMBER(R13),R13,IF(LEFT(R13,3)="BDI",HLOOKUP(R13,DADOS!$T$37:$X$38,2,FALSE),0)),15-11*$X$5)</f>
        <v>0.22</v>
      </c>
      <c r="AA13" s="4"/>
    </row>
    <row r="14" spans="1:27" ht="26.4" x14ac:dyDescent="0.25">
      <c r="A14" t="str">
        <f t="shared" si="0"/>
        <v>S</v>
      </c>
      <c r="B14">
        <f t="shared" si="1"/>
        <v>0</v>
      </c>
      <c r="C14">
        <f t="shared" ca="1" si="2"/>
        <v>1</v>
      </c>
      <c r="D14">
        <f t="shared" ca="1" si="3"/>
        <v>0</v>
      </c>
      <c r="E14">
        <f t="shared" ca="1" si="4"/>
        <v>0</v>
      </c>
      <c r="F14">
        <f t="shared" ca="1" si="5"/>
        <v>0</v>
      </c>
      <c r="G14">
        <f t="shared" ca="1" si="6"/>
        <v>1</v>
      </c>
      <c r="H14">
        <f ca="1">IF(OR($A14="S",$A14=0),0,MATCH(0,OFFSET($B14,1,$A14,ROW($A$27)-ROW($A14)),0))</f>
        <v>0</v>
      </c>
      <c r="I14">
        <f ca="1">IF(OR($A14="S",$A14=0),0,MATCH(OFFSET($B14,0,$A14)+1,OFFSET($B14,1,$A14,ROW($A$27)-ROW($A14)),0))</f>
        <v>0</v>
      </c>
      <c r="J14" s="393" t="s">
        <v>103</v>
      </c>
      <c r="K14" s="162" t="str">
        <f t="shared" ca="1" si="7"/>
        <v>1.1.</v>
      </c>
      <c r="L14" s="394" t="s">
        <v>234</v>
      </c>
      <c r="M14" s="394" t="s">
        <v>251</v>
      </c>
      <c r="N14" s="395" t="s">
        <v>258</v>
      </c>
      <c r="O14" s="396" t="s">
        <v>268</v>
      </c>
      <c r="P14" s="397">
        <v>4.5</v>
      </c>
      <c r="Q14" s="228"/>
      <c r="R14" s="231" t="s">
        <v>7</v>
      </c>
      <c r="S14" s="121">
        <f t="shared" si="8"/>
        <v>0</v>
      </c>
      <c r="T14" s="98">
        <f t="shared" si="9"/>
        <v>0</v>
      </c>
      <c r="U14" s="13" t="str">
        <f t="shared" si="10"/>
        <v>SEM VALOR</v>
      </c>
      <c r="V14" s="4" t="str">
        <f ca="1">IF(OR($A14=0,$A14="S",$A14&gt;CFF!$A$9),"",MAX(V$12:OFFSET(V14,-1,0))+1)</f>
        <v/>
      </c>
      <c r="W14" s="9" t="str">
        <f t="shared" si="11"/>
        <v>SINAPI-103689</v>
      </c>
      <c r="X14" s="4">
        <f t="shared" ca="1" si="12"/>
        <v>6241</v>
      </c>
      <c r="Y14" s="121">
        <v>376.99</v>
      </c>
      <c r="Z14" s="132">
        <f ca="1">ROUND(IF(ISNUMBER(R14),R14,IF(LEFT(R14,3)="BDI",HLOOKUP(R14,DADOS!$T$37:$X$38,2,FALSE),0)),15-11*$X$5)</f>
        <v>0.22</v>
      </c>
      <c r="AA14" s="4"/>
    </row>
    <row r="15" spans="1:27" x14ac:dyDescent="0.25">
      <c r="A15">
        <f t="shared" si="0"/>
        <v>1</v>
      </c>
      <c r="B15">
        <f t="shared" ca="1" si="1"/>
        <v>9</v>
      </c>
      <c r="C15">
        <f t="shared" ca="1" si="2"/>
        <v>2</v>
      </c>
      <c r="D15">
        <f t="shared" ca="1" si="3"/>
        <v>0</v>
      </c>
      <c r="E15">
        <f t="shared" ca="1" si="4"/>
        <v>0</v>
      </c>
      <c r="F15">
        <f t="shared" ca="1" si="5"/>
        <v>0</v>
      </c>
      <c r="G15">
        <f t="shared" ca="1" si="6"/>
        <v>0</v>
      </c>
      <c r="H15">
        <f ca="1">IF(OR($A15="S",$A15=0),0,MATCH(0,OFFSET($B15,1,$A15,ROW($A$27)-ROW($A15)),0))</f>
        <v>12</v>
      </c>
      <c r="I15">
        <f ca="1">IF(OR($A15="S",$A15=0),0,MATCH(OFFSET($B15,0,$A15)+1,OFFSET($B15,1,$A15,ROW($A$27)-ROW($A15)),0))</f>
        <v>9</v>
      </c>
      <c r="J15" s="393" t="s">
        <v>99</v>
      </c>
      <c r="K15" s="162" t="str">
        <f t="shared" ca="1" si="7"/>
        <v>2.</v>
      </c>
      <c r="L15" s="394"/>
      <c r="M15" s="394"/>
      <c r="N15" s="395" t="s">
        <v>240</v>
      </c>
      <c r="O15" s="396" t="s">
        <v>106</v>
      </c>
      <c r="P15" s="397"/>
      <c r="Q15" s="228"/>
      <c r="R15" s="231" t="s">
        <v>7</v>
      </c>
      <c r="S15" s="121">
        <f t="shared" si="8"/>
        <v>0</v>
      </c>
      <c r="T15" s="98">
        <f t="shared" ca="1" si="9"/>
        <v>0</v>
      </c>
      <c r="U15" s="13" t="str">
        <f t="shared" ca="1" si="10"/>
        <v>SEM VALOR</v>
      </c>
      <c r="V15" s="4">
        <f ca="1">IF(OR($A15=0,$A15="S",$A15&gt;CFF!$A$9),"",MAX(V$12:OFFSET(V15,-1,0))+1)</f>
        <v>2</v>
      </c>
      <c r="W15" s="9" t="b">
        <f t="shared" si="11"/>
        <v>0</v>
      </c>
      <c r="X15" s="4" t="str">
        <f t="shared" ca="1" si="12"/>
        <v>X</v>
      </c>
      <c r="Y15" s="121">
        <v>0</v>
      </c>
      <c r="Z15" s="132">
        <f ca="1">ROUND(IF(ISNUMBER(R15),R15,IF(LEFT(R15,3)="BDI",HLOOKUP(R15,DADOS!$T$37:$X$38,2,FALSE),0)),15-11*$X$5)</f>
        <v>0.22</v>
      </c>
      <c r="AA15" s="4"/>
    </row>
    <row r="16" spans="1:27" ht="26.4" x14ac:dyDescent="0.25">
      <c r="A16" t="str">
        <f t="shared" si="0"/>
        <v>S</v>
      </c>
      <c r="B16">
        <f t="shared" si="1"/>
        <v>0</v>
      </c>
      <c r="C16">
        <f t="shared" ca="1" si="2"/>
        <v>2</v>
      </c>
      <c r="D16">
        <f t="shared" ca="1" si="3"/>
        <v>0</v>
      </c>
      <c r="E16">
        <f t="shared" ca="1" si="4"/>
        <v>0</v>
      </c>
      <c r="F16">
        <f t="shared" ca="1" si="5"/>
        <v>0</v>
      </c>
      <c r="G16">
        <f t="shared" ca="1" si="6"/>
        <v>1</v>
      </c>
      <c r="H16">
        <f ca="1">IF(OR($A16="S",$A16=0),0,MATCH(0,OFFSET($B16,1,$A16,ROW($A$27)-ROW($A16)),0))</f>
        <v>0</v>
      </c>
      <c r="I16">
        <f ca="1">IF(OR($A16="S",$A16=0),0,MATCH(OFFSET($B16,0,$A16)+1,OFFSET($B16,1,$A16,ROW($A$27)-ROW($A16)),0))</f>
        <v>0</v>
      </c>
      <c r="J16" s="393" t="s">
        <v>103</v>
      </c>
      <c r="K16" s="162" t="str">
        <f t="shared" ca="1" si="7"/>
        <v>2.1.</v>
      </c>
      <c r="L16" s="394" t="s">
        <v>234</v>
      </c>
      <c r="M16" s="394" t="s">
        <v>244</v>
      </c>
      <c r="N16" s="395" t="s">
        <v>259</v>
      </c>
      <c r="O16" s="396" t="s">
        <v>268</v>
      </c>
      <c r="P16" s="397">
        <v>350</v>
      </c>
      <c r="Q16" s="228"/>
      <c r="R16" s="231" t="s">
        <v>7</v>
      </c>
      <c r="S16" s="121">
        <f t="shared" si="8"/>
        <v>0</v>
      </c>
      <c r="T16" s="98">
        <f t="shared" si="9"/>
        <v>0</v>
      </c>
      <c r="U16" s="13" t="str">
        <f t="shared" si="10"/>
        <v>SEM VALOR</v>
      </c>
      <c r="V16" s="4" t="str">
        <f ca="1">IF(OR($A16=0,$A16="S",$A16&gt;CFF!$A$9),"",MAX(V$12:OFFSET(V16,-1,0))+1)</f>
        <v/>
      </c>
      <c r="W16" s="9" t="str">
        <f t="shared" si="11"/>
        <v>SINAPI-97635</v>
      </c>
      <c r="X16" s="4">
        <f t="shared" ca="1" si="12"/>
        <v>7112</v>
      </c>
      <c r="Y16" s="121">
        <v>19.73</v>
      </c>
      <c r="Z16" s="132">
        <f ca="1">ROUND(IF(ISNUMBER(R16),R16,IF(LEFT(R16,3)="BDI",HLOOKUP(R16,DADOS!$T$37:$X$38,2,FALSE),0)),15-11*$X$5)</f>
        <v>0.22</v>
      </c>
      <c r="AA16" s="4"/>
    </row>
    <row r="17" spans="1:27" ht="39.6" x14ac:dyDescent="0.25">
      <c r="A17" t="str">
        <f t="shared" si="0"/>
        <v>S</v>
      </c>
      <c r="B17">
        <f t="shared" si="1"/>
        <v>0</v>
      </c>
      <c r="C17">
        <f t="shared" ca="1" si="2"/>
        <v>2</v>
      </c>
      <c r="D17">
        <f t="shared" ca="1" si="3"/>
        <v>0</v>
      </c>
      <c r="E17">
        <f t="shared" ca="1" si="4"/>
        <v>0</v>
      </c>
      <c r="F17">
        <f t="shared" ca="1" si="5"/>
        <v>0</v>
      </c>
      <c r="G17">
        <f t="shared" ca="1" si="6"/>
        <v>2</v>
      </c>
      <c r="H17">
        <f ca="1">IF(OR($A17="S",$A17=0),0,MATCH(0,OFFSET($B17,1,$A17,ROW($A$27)-ROW($A17)),0))</f>
        <v>0</v>
      </c>
      <c r="I17">
        <f ca="1">IF(OR($A17="S",$A17=0),0,MATCH(OFFSET($B17,0,$A17)+1,OFFSET($B17,1,$A17,ROW($A$27)-ROW($A17)),0))</f>
        <v>0</v>
      </c>
      <c r="J17" s="393" t="s">
        <v>103</v>
      </c>
      <c r="K17" s="162" t="str">
        <f t="shared" ca="1" si="7"/>
        <v>2.2.</v>
      </c>
      <c r="L17" s="394" t="s">
        <v>234</v>
      </c>
      <c r="M17" s="394" t="s">
        <v>245</v>
      </c>
      <c r="N17" s="395" t="s">
        <v>260</v>
      </c>
      <c r="O17" s="396" t="s">
        <v>269</v>
      </c>
      <c r="P17" s="397">
        <v>180</v>
      </c>
      <c r="Q17" s="228"/>
      <c r="R17" s="231" t="s">
        <v>7</v>
      </c>
      <c r="S17" s="121">
        <f t="shared" si="8"/>
        <v>0</v>
      </c>
      <c r="T17" s="98">
        <f t="shared" si="9"/>
        <v>0</v>
      </c>
      <c r="U17" s="13" t="str">
        <f t="shared" si="10"/>
        <v>SEM VALOR</v>
      </c>
      <c r="V17" s="4" t="str">
        <f ca="1">IF(OR($A17=0,$A17="S",$A17&gt;CFF!$A$9),"",MAX(V$12:OFFSET(V17,-1,0))+1)</f>
        <v/>
      </c>
      <c r="W17" s="9" t="str">
        <f t="shared" si="11"/>
        <v>SINAPI-102312</v>
      </c>
      <c r="X17" s="4">
        <f t="shared" ca="1" si="12"/>
        <v>5950</v>
      </c>
      <c r="Y17" s="121">
        <v>15.85</v>
      </c>
      <c r="Z17" s="132">
        <f ca="1">ROUND(IF(ISNUMBER(R17),R17,IF(LEFT(R17,3)="BDI",HLOOKUP(R17,DADOS!$T$37:$X$38,2,FALSE),0)),15-11*$X$5)</f>
        <v>0.22</v>
      </c>
      <c r="AA17" s="4"/>
    </row>
    <row r="18" spans="1:27" ht="26.4" x14ac:dyDescent="0.25">
      <c r="A18" t="str">
        <f t="shared" si="0"/>
        <v>S</v>
      </c>
      <c r="B18">
        <f t="shared" si="1"/>
        <v>0</v>
      </c>
      <c r="C18">
        <f t="shared" ca="1" si="2"/>
        <v>2</v>
      </c>
      <c r="D18">
        <f t="shared" ca="1" si="3"/>
        <v>0</v>
      </c>
      <c r="E18">
        <f t="shared" ca="1" si="4"/>
        <v>0</v>
      </c>
      <c r="F18">
        <f t="shared" ca="1" si="5"/>
        <v>0</v>
      </c>
      <c r="G18">
        <f t="shared" ca="1" si="6"/>
        <v>3</v>
      </c>
      <c r="H18">
        <f ca="1">IF(OR($A18="S",$A18=0),0,MATCH(0,OFFSET($B18,1,$A18,ROW($A$27)-ROW($A18)),0))</f>
        <v>0</v>
      </c>
      <c r="I18">
        <f ca="1">IF(OR($A18="S",$A18=0),0,MATCH(OFFSET($B18,0,$A18)+1,OFFSET($B18,1,$A18,ROW($A$27)-ROW($A18)),0))</f>
        <v>0</v>
      </c>
      <c r="J18" s="393" t="s">
        <v>103</v>
      </c>
      <c r="K18" s="162" t="str">
        <f t="shared" ca="1" si="7"/>
        <v>2.3.</v>
      </c>
      <c r="L18" s="394" t="s">
        <v>234</v>
      </c>
      <c r="M18" s="394" t="s">
        <v>246</v>
      </c>
      <c r="N18" s="395" t="s">
        <v>261</v>
      </c>
      <c r="O18" s="396" t="s">
        <v>268</v>
      </c>
      <c r="P18" s="397">
        <v>60</v>
      </c>
      <c r="Q18" s="228"/>
      <c r="R18" s="231" t="s">
        <v>7</v>
      </c>
      <c r="S18" s="121">
        <f t="shared" si="8"/>
        <v>0</v>
      </c>
      <c r="T18" s="98">
        <f t="shared" si="9"/>
        <v>0</v>
      </c>
      <c r="U18" s="13" t="str">
        <f t="shared" si="10"/>
        <v>SEM VALOR</v>
      </c>
      <c r="V18" s="4" t="str">
        <f ca="1">IF(OR($A18=0,$A18="S",$A18&gt;CFF!$A$9),"",MAX(V$12:OFFSET(V18,-1,0))+1)</f>
        <v/>
      </c>
      <c r="W18" s="9" t="str">
        <f t="shared" si="11"/>
        <v>SINAPI-101617</v>
      </c>
      <c r="X18" s="4">
        <f t="shared" ca="1" si="12"/>
        <v>6012</v>
      </c>
      <c r="Y18" s="121">
        <v>3.9</v>
      </c>
      <c r="Z18" s="132">
        <f ca="1">ROUND(IF(ISNUMBER(R18),R18,IF(LEFT(R18,3)="BDI",HLOOKUP(R18,DADOS!$T$37:$X$38,2,FALSE),0)),15-11*$X$5)</f>
        <v>0.22</v>
      </c>
      <c r="AA18" s="4"/>
    </row>
    <row r="19" spans="1:27" ht="39.6" x14ac:dyDescent="0.25">
      <c r="A19" t="str">
        <f t="shared" si="0"/>
        <v>S</v>
      </c>
      <c r="B19">
        <f t="shared" si="1"/>
        <v>0</v>
      </c>
      <c r="C19">
        <f t="shared" ca="1" si="2"/>
        <v>2</v>
      </c>
      <c r="D19">
        <f t="shared" ca="1" si="3"/>
        <v>0</v>
      </c>
      <c r="E19">
        <f t="shared" ca="1" si="4"/>
        <v>0</v>
      </c>
      <c r="F19">
        <f t="shared" ca="1" si="5"/>
        <v>0</v>
      </c>
      <c r="G19">
        <f t="shared" ca="1" si="6"/>
        <v>4</v>
      </c>
      <c r="H19">
        <f ca="1">IF(OR($A19="S",$A19=0),0,MATCH(0,OFFSET($B19,1,$A19,ROW($A$27)-ROW($A19)),0))</f>
        <v>0</v>
      </c>
      <c r="I19">
        <f ca="1">IF(OR($A19="S",$A19=0),0,MATCH(OFFSET($B19,0,$A19)+1,OFFSET($B19,1,$A19,ROW($A$27)-ROW($A19)),0))</f>
        <v>0</v>
      </c>
      <c r="J19" s="393" t="s">
        <v>103</v>
      </c>
      <c r="K19" s="162" t="str">
        <f t="shared" ca="1" si="7"/>
        <v>2.4.</v>
      </c>
      <c r="L19" s="394" t="s">
        <v>234</v>
      </c>
      <c r="M19" s="394" t="s">
        <v>250</v>
      </c>
      <c r="N19" s="395" t="s">
        <v>262</v>
      </c>
      <c r="O19" s="396" t="s">
        <v>270</v>
      </c>
      <c r="P19" s="397">
        <v>20</v>
      </c>
      <c r="Q19" s="228"/>
      <c r="R19" s="231" t="s">
        <v>7</v>
      </c>
      <c r="S19" s="121">
        <f t="shared" si="8"/>
        <v>0</v>
      </c>
      <c r="T19" s="98">
        <f t="shared" si="9"/>
        <v>0</v>
      </c>
      <c r="U19" s="13" t="str">
        <f t="shared" si="10"/>
        <v>SEM VALOR</v>
      </c>
      <c r="V19" s="4" t="str">
        <f ca="1">IF(OR($A19=0,$A19="S",$A19&gt;CFF!$A$9),"",MAX(V$12:OFFSET(V19,-1,0))+1)</f>
        <v/>
      </c>
      <c r="W19" s="9" t="str">
        <f t="shared" si="11"/>
        <v>SINAPI-92863</v>
      </c>
      <c r="X19" s="4">
        <f t="shared" ca="1" si="12"/>
        <v>395</v>
      </c>
      <c r="Y19" s="121">
        <v>1225.44</v>
      </c>
      <c r="Z19" s="132">
        <f ca="1">ROUND(IF(ISNUMBER(R19),R19,IF(LEFT(R19,3)="BDI",HLOOKUP(R19,DADOS!$T$37:$X$38,2,FALSE),0)),15-11*$X$5)</f>
        <v>0.22</v>
      </c>
      <c r="AA19" s="4"/>
    </row>
    <row r="20" spans="1:27" ht="26.4" x14ac:dyDescent="0.25">
      <c r="A20" t="str">
        <f t="shared" si="0"/>
        <v>S</v>
      </c>
      <c r="B20">
        <f t="shared" si="1"/>
        <v>0</v>
      </c>
      <c r="C20">
        <f t="shared" ca="1" si="2"/>
        <v>2</v>
      </c>
      <c r="D20">
        <f t="shared" ca="1" si="3"/>
        <v>0</v>
      </c>
      <c r="E20">
        <f t="shared" ca="1" si="4"/>
        <v>0</v>
      </c>
      <c r="F20">
        <f t="shared" ca="1" si="5"/>
        <v>0</v>
      </c>
      <c r="G20">
        <f t="shared" ca="1" si="6"/>
        <v>5</v>
      </c>
      <c r="H20">
        <f ca="1">IF(OR($A20="S",$A20=0),0,MATCH(0,OFFSET($B20,1,$A20,ROW($A$27)-ROW($A20)),0))</f>
        <v>0</v>
      </c>
      <c r="I20">
        <f ca="1">IF(OR($A20="S",$A20=0),0,MATCH(OFFSET($B20,0,$A20)+1,OFFSET($B20,1,$A20,ROW($A$27)-ROW($A20)),0))</f>
        <v>0</v>
      </c>
      <c r="J20" s="393" t="s">
        <v>103</v>
      </c>
      <c r="K20" s="162" t="str">
        <f t="shared" ca="1" si="7"/>
        <v>2.5.</v>
      </c>
      <c r="L20" s="394" t="s">
        <v>234</v>
      </c>
      <c r="M20" s="394" t="s">
        <v>247</v>
      </c>
      <c r="N20" s="395" t="s">
        <v>263</v>
      </c>
      <c r="O20" s="396" t="s">
        <v>270</v>
      </c>
      <c r="P20" s="397">
        <v>40</v>
      </c>
      <c r="Q20" s="228"/>
      <c r="R20" s="231" t="s">
        <v>7</v>
      </c>
      <c r="S20" s="121">
        <f t="shared" si="8"/>
        <v>0</v>
      </c>
      <c r="T20" s="98">
        <f t="shared" si="9"/>
        <v>0</v>
      </c>
      <c r="U20" s="13" t="str">
        <f t="shared" si="10"/>
        <v>SEM VALOR</v>
      </c>
      <c r="V20" s="4" t="str">
        <f ca="1">IF(OR($A20=0,$A20="S",$A20&gt;CFF!$A$9),"",MAX(V$12:OFFSET(V20,-1,0))+1)</f>
        <v/>
      </c>
      <c r="W20" s="9" t="str">
        <f t="shared" si="11"/>
        <v>SINAPI-94286</v>
      </c>
      <c r="X20" s="4">
        <f t="shared" ca="1" si="12"/>
        <v>2057</v>
      </c>
      <c r="Y20" s="121">
        <v>102.77</v>
      </c>
      <c r="Z20" s="132">
        <f ca="1">ROUND(IF(ISNUMBER(R20),R20,IF(LEFT(R20,3)="BDI",HLOOKUP(R20,DADOS!$T$37:$X$38,2,FALSE),0)),15-11*$X$5)</f>
        <v>0.22</v>
      </c>
      <c r="AA20" s="4"/>
    </row>
    <row r="21" spans="1:27" x14ac:dyDescent="0.25">
      <c r="A21" t="str">
        <f>CHOOSE(1+LOG(1+2*(J21="Meta")+4*(J21="Nível 2")+8*(J21="Nível 3")+16*(J21="Nível 4")+32*(J21="Serviço"),2),0,1,2,3,4,"S")</f>
        <v>S</v>
      </c>
      <c r="B21">
        <f>IF(OR(A21="S",A21=0),0,IF(ISERROR(I21),H21,SMALL(H21:I21,1)))</f>
        <v>0</v>
      </c>
      <c r="C21">
        <f ca="1">IF($A21=1,OFFSET(C21,-1,0)+1,OFFSET(C21,-1,0))</f>
        <v>2</v>
      </c>
      <c r="D21">
        <f ca="1">IF($A21=1,0,IF($A21=2,OFFSET(D21,-1,0)+1,OFFSET(D21,-1,0)))</f>
        <v>0</v>
      </c>
      <c r="E21">
        <f ca="1">IF(AND($A21&lt;=2,$A21&lt;&gt;0),0,IF($A21=3,OFFSET(E21,-1,0)+1,OFFSET(E21,-1,0)))</f>
        <v>0</v>
      </c>
      <c r="F21">
        <f ca="1">IF(AND($A21&lt;=3,$A21&lt;&gt;0),0,IF($A21=4,OFFSET(F21,-1,0)+1,OFFSET(F21,-1,0)))</f>
        <v>0</v>
      </c>
      <c r="G21">
        <f ca="1">IF(AND($A21&lt;=4,$A21&lt;&gt;0),0,IF($A21="S",OFFSET(G21,-1,0)+1,OFFSET(G21,-1,0)))</f>
        <v>6</v>
      </c>
      <c r="H21">
        <f ca="1">IF(OR($A21="S",$A21=0),0,MATCH(0,OFFSET($B21,1,$A21,ROW($A$27)-ROW($A21)),0))</f>
        <v>0</v>
      </c>
      <c r="I21">
        <f ca="1">IF(OR($A21="S",$A21=0),0,MATCH(OFFSET($B21,0,$A21)+1,OFFSET($B21,1,$A21,ROW($A$27)-ROW($A21)),0))</f>
        <v>0</v>
      </c>
      <c r="J21" s="393" t="s">
        <v>103</v>
      </c>
      <c r="K21" s="162" t="str">
        <f ca="1">IF($A21=0,"-",CONCATENATE(C21&amp;".",IF(AND($A$5&gt;=2,$A21&gt;=2),D21&amp;".",""),IF(AND($A$5&gt;=3,$A21&gt;=3),E21&amp;".",""),IF(AND($A$5&gt;=4,$A21&gt;=4),F21&amp;".",""),IF($A21="S",G21&amp;".","")))</f>
        <v>2.6.</v>
      </c>
      <c r="L21" s="394" t="s">
        <v>252</v>
      </c>
      <c r="M21" s="394" t="s">
        <v>253</v>
      </c>
      <c r="N21" s="395" t="s">
        <v>254</v>
      </c>
      <c r="O21" s="396" t="s">
        <v>255</v>
      </c>
      <c r="P21" s="397">
        <v>2</v>
      </c>
      <c r="Q21" s="228"/>
      <c r="R21" s="231" t="s">
        <v>7</v>
      </c>
      <c r="S21" s="121">
        <f>IF($A21="S",IF($Q$10="Preço Unitário (R$)",PO.CustoUnitario,ROUND(PO.CustoUnitario*(1+$Z21),15-13*$X$6)),0)</f>
        <v>0</v>
      </c>
      <c r="T21" s="98">
        <f>IF($A21="S",VTOTAL1,IF($A21=0,0,ROUND(SomaAgrup,15-13*$X$7)))</f>
        <v>0</v>
      </c>
      <c r="U21" s="13" t="str">
        <f>IF($J21="","",IF($N21="","DESCRIÇÃO",IF(AND($J21="Serviço",$O21=""),"UNIDADE",IF($T21&lt;=0,"SEM VALOR",IF(AND($Y21&lt;&gt;"",$Q21&gt;$Y21),"ACIMA REF.","")))))</f>
        <v>SEM VALOR</v>
      </c>
      <c r="V21" s="4" t="str">
        <f ca="1">IF(OR($A21=0,$A21="S",$A21&gt;CFF!$A$9),"",MAX(V$12:OFFSET(V21,-1,0))+1)</f>
        <v/>
      </c>
      <c r="W21" s="9" t="str">
        <f>IF(AND($J21="Serviço",$M21&lt;&gt;""),IF($L21="",$M21,CONCATENATE($L21,"-",$M21)))</f>
        <v>SICRO-2003651</v>
      </c>
      <c r="X21" s="4" t="e">
        <f ca="1">IF(AND(Fonte&lt;&gt;"",Código&lt;&gt;""),MATCH(Fonte&amp;" "&amp;IF(Fonte="sinapi",SUBSTITUTE(SUBSTITUTE(Código,"/00","/"),"/0","/"),Código),INDIRECT("'[Referência "&amp;_xlnm.Database&amp;".xls]Banco'!$a:$a"),0),"X")</f>
        <v>#N/A</v>
      </c>
      <c r="Y21" s="121">
        <v>3686.9</v>
      </c>
      <c r="Z21" s="132">
        <f ca="1">ROUND(IF(ISNUMBER(R21),R21,IF(LEFT(R21,3)="BDI",HLOOKUP(R21,DADOS!$T$37:$X$38,2,FALSE),0)),15-11*$X$5)</f>
        <v>0.22</v>
      </c>
      <c r="AA21" s="4"/>
    </row>
    <row r="22" spans="1:27" ht="26.4" x14ac:dyDescent="0.25">
      <c r="A22" t="str">
        <f t="shared" si="0"/>
        <v>S</v>
      </c>
      <c r="B22">
        <f t="shared" si="1"/>
        <v>0</v>
      </c>
      <c r="C22">
        <f t="shared" ca="1" si="2"/>
        <v>2</v>
      </c>
      <c r="D22">
        <f t="shared" ca="1" si="3"/>
        <v>0</v>
      </c>
      <c r="E22">
        <f t="shared" ca="1" si="4"/>
        <v>0</v>
      </c>
      <c r="F22">
        <f t="shared" ca="1" si="5"/>
        <v>0</v>
      </c>
      <c r="G22">
        <f t="shared" ca="1" si="6"/>
        <v>7</v>
      </c>
      <c r="H22">
        <f ca="1">IF(OR($A22="S",$A22=0),0,MATCH(0,OFFSET($B22,1,$A22,ROW($A$27)-ROW($A22)),0))</f>
        <v>0</v>
      </c>
      <c r="I22">
        <f ca="1">IF(OR($A22="S",$A22=0),0,MATCH(OFFSET($B22,0,$A22)+1,OFFSET($B22,1,$A22,ROW($A$27)-ROW($A22)),0))</f>
        <v>0</v>
      </c>
      <c r="J22" s="393" t="s">
        <v>103</v>
      </c>
      <c r="K22" s="162" t="str">
        <f t="shared" ca="1" si="7"/>
        <v>2.7.</v>
      </c>
      <c r="L22" s="394" t="s">
        <v>234</v>
      </c>
      <c r="M22" s="394" t="s">
        <v>249</v>
      </c>
      <c r="N22" s="395" t="s">
        <v>264</v>
      </c>
      <c r="O22" s="396" t="s">
        <v>269</v>
      </c>
      <c r="P22" s="397">
        <v>126</v>
      </c>
      <c r="Q22" s="228"/>
      <c r="R22" s="231" t="s">
        <v>7</v>
      </c>
      <c r="S22" s="121">
        <f t="shared" si="8"/>
        <v>0</v>
      </c>
      <c r="T22" s="98">
        <f t="shared" si="9"/>
        <v>0</v>
      </c>
      <c r="U22" s="13" t="str">
        <f t="shared" si="10"/>
        <v>SEM VALOR</v>
      </c>
      <c r="V22" s="4" t="str">
        <f ca="1">IF(OR($A22=0,$A22="S",$A22&gt;CFF!$A$9),"",MAX(V$12:OFFSET(V22,-1,0))+1)</f>
        <v/>
      </c>
      <c r="W22" s="9" t="str">
        <f t="shared" si="11"/>
        <v>SINAPI-96385</v>
      </c>
      <c r="X22" s="4">
        <f t="shared" ca="1" si="12"/>
        <v>5980</v>
      </c>
      <c r="Y22" s="121">
        <v>15.14</v>
      </c>
      <c r="Z22" s="132">
        <f ca="1">ROUND(IF(ISNUMBER(R22),R22,IF(LEFT(R22,3)="BDI",HLOOKUP(R22,DADOS!$T$37:$X$38,2,FALSE),0)),15-11*$X$5)</f>
        <v>0.22</v>
      </c>
      <c r="AA22" s="4"/>
    </row>
    <row r="23" spans="1:27" x14ac:dyDescent="0.25">
      <c r="A23" t="str">
        <f t="shared" si="0"/>
        <v>S</v>
      </c>
      <c r="B23">
        <f t="shared" si="1"/>
        <v>0</v>
      </c>
      <c r="C23">
        <f t="shared" ca="1" si="2"/>
        <v>2</v>
      </c>
      <c r="D23">
        <f t="shared" ca="1" si="3"/>
        <v>0</v>
      </c>
      <c r="E23">
        <f t="shared" ca="1" si="4"/>
        <v>0</v>
      </c>
      <c r="F23">
        <f t="shared" ca="1" si="5"/>
        <v>0</v>
      </c>
      <c r="G23">
        <f t="shared" ca="1" si="6"/>
        <v>8</v>
      </c>
      <c r="H23">
        <f ca="1">IF(OR($A23="S",$A23=0),0,MATCH(0,OFFSET($B23,1,$A23,ROW($A$27)-ROW($A23)),0))</f>
        <v>0</v>
      </c>
      <c r="I23">
        <f ca="1">IF(OR($A23="S",$A23=0),0,MATCH(OFFSET($B23,0,$A23)+1,OFFSET($B23,1,$A23,ROW($A$27)-ROW($A23)),0))</f>
        <v>0</v>
      </c>
      <c r="J23" s="393" t="s">
        <v>103</v>
      </c>
      <c r="K23" s="162" t="str">
        <f t="shared" ca="1" si="7"/>
        <v>2.8.</v>
      </c>
      <c r="L23" s="394" t="s">
        <v>234</v>
      </c>
      <c r="M23" s="394" t="s">
        <v>241</v>
      </c>
      <c r="N23" s="395" t="s">
        <v>265</v>
      </c>
      <c r="O23" s="396" t="s">
        <v>268</v>
      </c>
      <c r="P23" s="397">
        <v>350</v>
      </c>
      <c r="Q23" s="228"/>
      <c r="R23" s="231" t="s">
        <v>7</v>
      </c>
      <c r="S23" s="121">
        <f t="shared" si="8"/>
        <v>0</v>
      </c>
      <c r="T23" s="98">
        <f t="shared" si="9"/>
        <v>0</v>
      </c>
      <c r="U23" s="13" t="str">
        <f t="shared" si="10"/>
        <v>SEM VALOR</v>
      </c>
      <c r="V23" s="4" t="str">
        <f ca="1">IF(OR($A23=0,$A23="S",$A23&gt;CFF!$A$9),"",MAX(V$12:OFFSET(V23,-1,0))+1)</f>
        <v/>
      </c>
      <c r="W23" s="9" t="str">
        <f t="shared" si="11"/>
        <v>SINAPI-100576</v>
      </c>
      <c r="X23" s="4">
        <f t="shared" ca="1" si="12"/>
        <v>6163</v>
      </c>
      <c r="Y23" s="121">
        <v>3.32</v>
      </c>
      <c r="Z23" s="132">
        <f ca="1">ROUND(IF(ISNUMBER(R23),R23,IF(LEFT(R23,3)="BDI",HLOOKUP(R23,DADOS!$T$37:$X$38,2,FALSE),0)),15-11*$X$5)</f>
        <v>0.22</v>
      </c>
      <c r="AA23" s="4"/>
    </row>
    <row r="24" spans="1:27" x14ac:dyDescent="0.25">
      <c r="A24">
        <f t="shared" si="0"/>
        <v>1</v>
      </c>
      <c r="B24">
        <f t="shared" ca="1" si="1"/>
        <v>3</v>
      </c>
      <c r="C24">
        <f t="shared" ca="1" si="2"/>
        <v>3</v>
      </c>
      <c r="D24">
        <f t="shared" ca="1" si="3"/>
        <v>0</v>
      </c>
      <c r="E24">
        <f t="shared" ca="1" si="4"/>
        <v>0</v>
      </c>
      <c r="F24">
        <f t="shared" ca="1" si="5"/>
        <v>0</v>
      </c>
      <c r="G24">
        <f t="shared" ca="1" si="6"/>
        <v>0</v>
      </c>
      <c r="H24">
        <f ca="1">IF(OR($A24="S",$A24=0),0,MATCH(0,OFFSET($B24,1,$A24,ROW($A$27)-ROW($A24)),0))</f>
        <v>3</v>
      </c>
      <c r="I24" t="e">
        <f ca="1">IF(OR($A24="S",$A24=0),0,MATCH(OFFSET($B24,0,$A24)+1,OFFSET($B24,1,$A24,ROW($A$27)-ROW($A24)),0))</f>
        <v>#N/A</v>
      </c>
      <c r="J24" s="393" t="s">
        <v>99</v>
      </c>
      <c r="K24" s="162" t="str">
        <f t="shared" ca="1" si="7"/>
        <v>3.</v>
      </c>
      <c r="L24" s="394"/>
      <c r="M24" s="394"/>
      <c r="N24" s="395" t="s">
        <v>238</v>
      </c>
      <c r="O24" s="396" t="s">
        <v>106</v>
      </c>
      <c r="P24" s="397"/>
      <c r="Q24" s="228"/>
      <c r="R24" s="231" t="s">
        <v>7</v>
      </c>
      <c r="S24" s="121">
        <f t="shared" si="8"/>
        <v>0</v>
      </c>
      <c r="T24" s="98">
        <f t="shared" ca="1" si="9"/>
        <v>0</v>
      </c>
      <c r="U24" s="13" t="str">
        <f t="shared" ca="1" si="10"/>
        <v>SEM VALOR</v>
      </c>
      <c r="V24" s="4">
        <f ca="1">IF(OR($A24=0,$A24="S",$A24&gt;CFF!$A$9),"",MAX(V$12:OFFSET(V24,-1,0))+1)</f>
        <v>3</v>
      </c>
      <c r="W24" s="9" t="b">
        <f t="shared" si="11"/>
        <v>0</v>
      </c>
      <c r="X24" s="4" t="str">
        <f t="shared" ca="1" si="12"/>
        <v>X</v>
      </c>
      <c r="Y24" s="121">
        <v>0</v>
      </c>
      <c r="Z24" s="132">
        <f ca="1">ROUND(IF(ISNUMBER(R24),R24,IF(LEFT(R24,3)="BDI",HLOOKUP(R24,DADOS!$T$37:$X$38,2,FALSE),0)),15-11*$X$5)</f>
        <v>0.22</v>
      </c>
      <c r="AA24" s="4"/>
    </row>
    <row r="25" spans="1:27" ht="26.4" x14ac:dyDescent="0.25">
      <c r="A25" t="str">
        <f>CHOOSE(1+LOG(1+2*(J25="Meta")+4*(J25="Nível 2")+8*(J25="Nível 3")+16*(J25="Nível 4")+32*(J25="Serviço"),2),0,1,2,3,4,"S")</f>
        <v>S</v>
      </c>
      <c r="B25">
        <f>IF(OR(A25="S",A25=0),0,IF(ISERROR(I25),H25,SMALL(H25:I25,1)))</f>
        <v>0</v>
      </c>
      <c r="C25">
        <f ca="1">IF($A25=1,OFFSET(C25,-1,0)+1,OFFSET(C25,-1,0))</f>
        <v>3</v>
      </c>
      <c r="D25">
        <f ca="1">IF($A25=1,0,IF($A25=2,OFFSET(D25,-1,0)+1,OFFSET(D25,-1,0)))</f>
        <v>0</v>
      </c>
      <c r="E25">
        <f ca="1">IF(AND($A25&lt;=2,$A25&lt;&gt;0),0,IF($A25=3,OFFSET(E25,-1,0)+1,OFFSET(E25,-1,0)))</f>
        <v>0</v>
      </c>
      <c r="F25">
        <f ca="1">IF(AND($A25&lt;=3,$A25&lt;&gt;0),0,IF($A25=4,OFFSET(F25,-1,0)+1,OFFSET(F25,-1,0)))</f>
        <v>0</v>
      </c>
      <c r="G25">
        <f ca="1">IF(AND($A25&lt;=4,$A25&lt;&gt;0),0,IF($A25="S",OFFSET(G25,-1,0)+1,OFFSET(G25,-1,0)))</f>
        <v>1</v>
      </c>
      <c r="H25">
        <f ca="1">IF(OR($A25="S",$A25=0),0,MATCH(0,OFFSET($B25,1,$A25,ROW($A$27)-ROW($A25)),0))</f>
        <v>0</v>
      </c>
      <c r="I25">
        <f ca="1">IF(OR($A25="S",$A25=0),0,MATCH(OFFSET($B25,0,$A25)+1,OFFSET($B25,1,$A25,ROW($A$27)-ROW($A25)),0))</f>
        <v>0</v>
      </c>
      <c r="J25" s="393" t="s">
        <v>103</v>
      </c>
      <c r="K25" s="162" t="str">
        <f ca="1">IF($A25=0,"-",CONCATENATE(C25&amp;".",IF(AND($A$5&gt;=2,$A25&gt;=2),D25&amp;".",""),IF(AND($A$5&gt;=3,$A25&gt;=3),E25&amp;".",""),IF(AND($A$5&gt;=4,$A25&gt;=4),F25&amp;".",""),IF($A25="S",G25&amp;".","")))</f>
        <v>3.1.</v>
      </c>
      <c r="L25" s="394" t="s">
        <v>239</v>
      </c>
      <c r="M25" s="394" t="s">
        <v>242</v>
      </c>
      <c r="N25" s="395" t="s">
        <v>266</v>
      </c>
      <c r="O25" s="396" t="s">
        <v>270</v>
      </c>
      <c r="P25" s="397">
        <v>40</v>
      </c>
      <c r="Q25" s="228"/>
      <c r="R25" s="231" t="s">
        <v>7</v>
      </c>
      <c r="S25" s="121">
        <f>IF($A25="S",IF($Q$10="Preço Unitário (R$)",PO.CustoUnitario,ROUND(PO.CustoUnitario*(1+$Z25),15-13*$X$6)),0)</f>
        <v>0</v>
      </c>
      <c r="T25" s="98">
        <f>IF($A25="S",VTOTAL1,IF($A25=0,0,ROUND(SomaAgrup,15-13*$X$7)))</f>
        <v>0</v>
      </c>
      <c r="U25" s="13" t="str">
        <f>IF($J25="","",IF($N25="","DESCRIÇÃO",IF(AND($J25="Serviço",$O25=""),"UNIDADE",IF($T25&lt;=0,"SEM VALOR",IF(AND($Y25&lt;&gt;"",$Q25&gt;$Y25),"ACIMA REF.","")))))</f>
        <v>SEM VALOR</v>
      </c>
      <c r="V25" s="4" t="str">
        <f ca="1">IF(OR($A25=0,$A25="S",$A25&gt;CFF!$A$9),"",MAX(V$12:OFFSET(V25,-1,0))+1)</f>
        <v/>
      </c>
      <c r="W25" s="9" t="str">
        <f>IF(AND($J25="Serviço",$M25&lt;&gt;""),IF($L25="",$M25,CONCATENATE($L25,"-",$M25)))</f>
        <v>PM BENTO-01</v>
      </c>
      <c r="X25" s="4">
        <f ca="1">IF(AND(Fonte&lt;&gt;"",Código&lt;&gt;""),MATCH(Fonte&amp;" "&amp;IF(Fonte="sinapi",SUBSTITUTE(SUBSTITUTE(Código,"/00","/"),"/0","/"),Código),INDIRECT("'[Referência "&amp;_xlnm.Database&amp;".xls]Banco'!$a:$a"),0),"X")</f>
        <v>7</v>
      </c>
      <c r="Y25" s="121">
        <v>86.05</v>
      </c>
      <c r="Z25" s="132">
        <f ca="1">ROUND(IF(ISNUMBER(R25),R25,IF(LEFT(R25,3)="BDI",HLOOKUP(R25,DADOS!$T$37:$X$38,2,FALSE),0)),15-11*$X$5)</f>
        <v>0.22</v>
      </c>
      <c r="AA25" s="4"/>
    </row>
    <row r="26" spans="1:27" ht="26.4" x14ac:dyDescent="0.25">
      <c r="A26" t="str">
        <f t="shared" si="0"/>
        <v>S</v>
      </c>
      <c r="B26">
        <f t="shared" si="1"/>
        <v>0</v>
      </c>
      <c r="C26">
        <f t="shared" ca="1" si="2"/>
        <v>3</v>
      </c>
      <c r="D26">
        <f t="shared" ca="1" si="3"/>
        <v>0</v>
      </c>
      <c r="E26">
        <f t="shared" ca="1" si="4"/>
        <v>0</v>
      </c>
      <c r="F26">
        <f t="shared" ca="1" si="5"/>
        <v>0</v>
      </c>
      <c r="G26">
        <f t="shared" ca="1" si="6"/>
        <v>2</v>
      </c>
      <c r="H26">
        <f ca="1">IF(OR($A26="S",$A26=0),0,MATCH(0,OFFSET($B26,1,$A26,ROW($A$27)-ROW($A26)),0))</f>
        <v>0</v>
      </c>
      <c r="I26">
        <f ca="1">IF(OR($A26="S",$A26=0),0,MATCH(OFFSET($B26,0,$A26)+1,OFFSET($B26,1,$A26,ROW($A$27)-ROW($A26)),0))</f>
        <v>0</v>
      </c>
      <c r="J26" s="393" t="s">
        <v>103</v>
      </c>
      <c r="K26" s="162" t="str">
        <f t="shared" ca="1" si="7"/>
        <v>3.2.</v>
      </c>
      <c r="L26" s="394" t="s">
        <v>239</v>
      </c>
      <c r="M26" s="394" t="s">
        <v>257</v>
      </c>
      <c r="N26" s="395" t="s">
        <v>267</v>
      </c>
      <c r="O26" s="396" t="s">
        <v>268</v>
      </c>
      <c r="P26" s="397">
        <v>350</v>
      </c>
      <c r="Q26" s="228"/>
      <c r="R26" s="231" t="s">
        <v>7</v>
      </c>
      <c r="S26" s="121">
        <f t="shared" si="8"/>
        <v>0</v>
      </c>
      <c r="T26" s="98">
        <f t="shared" si="9"/>
        <v>0</v>
      </c>
      <c r="U26" s="13" t="str">
        <f t="shared" si="10"/>
        <v>SEM VALOR</v>
      </c>
      <c r="V26" s="4" t="str">
        <f ca="1">IF(OR($A26=0,$A26="S",$A26&gt;CFF!$A$9),"",MAX(V$12:OFFSET(V26,-1,0))+1)</f>
        <v/>
      </c>
      <c r="W26" s="9" t="str">
        <f t="shared" si="11"/>
        <v>PM BENTO-02</v>
      </c>
      <c r="X26" s="4">
        <f t="shared" ca="1" si="12"/>
        <v>8</v>
      </c>
      <c r="Y26" s="121">
        <v>340.51</v>
      </c>
      <c r="Z26" s="132">
        <f ca="1">ROUND(IF(ISNUMBER(R26),R26,IF(LEFT(R26,3)="BDI",HLOOKUP(R26,DADOS!$T$37:$X$38,2,FALSE),0)),15-11*$X$5)</f>
        <v>0.22</v>
      </c>
      <c r="AA26" s="4"/>
    </row>
    <row r="27" spans="1:27" x14ac:dyDescent="0.25">
      <c r="A27">
        <v>-1</v>
      </c>
      <c r="C27">
        <v>0</v>
      </c>
      <c r="D27">
        <v>0</v>
      </c>
      <c r="E27">
        <v>0</v>
      </c>
      <c r="F27">
        <v>0</v>
      </c>
      <c r="G27">
        <v>0</v>
      </c>
      <c r="J27" s="83"/>
      <c r="K27" s="83"/>
      <c r="L27" s="83"/>
      <c r="M27" s="83"/>
      <c r="N27" s="83"/>
      <c r="O27" s="83"/>
      <c r="P27" s="83"/>
      <c r="Q27" s="83"/>
      <c r="R27" s="83"/>
      <c r="S27" s="83"/>
      <c r="T27" s="83"/>
      <c r="U27" s="4"/>
      <c r="V27" s="4"/>
      <c r="W27" s="4"/>
      <c r="X27" s="4"/>
      <c r="Y27" s="4"/>
      <c r="Z27" s="4"/>
      <c r="AA27" s="4"/>
    </row>
    <row r="28" spans="1:27" ht="14.25" customHeight="1" x14ac:dyDescent="0.25">
      <c r="A28" s="4"/>
      <c r="B28" s="4"/>
      <c r="C28" s="4"/>
      <c r="D28" s="4"/>
      <c r="E28" s="4"/>
      <c r="F28" s="4"/>
      <c r="G28" s="4"/>
      <c r="H28" s="4"/>
      <c r="I28" s="4"/>
      <c r="J28" s="4"/>
      <c r="K28" s="84" t="s">
        <v>62</v>
      </c>
      <c r="L28" s="4"/>
      <c r="M28" s="365" t="s">
        <v>141</v>
      </c>
      <c r="N28" s="366"/>
      <c r="O28" s="366"/>
      <c r="P28" s="366"/>
      <c r="Q28" s="366"/>
      <c r="R28" s="366"/>
      <c r="S28" s="366"/>
      <c r="T28" s="367"/>
      <c r="U28" s="4"/>
      <c r="V28" s="4"/>
      <c r="W28" s="4"/>
      <c r="X28" s="4"/>
      <c r="Y28" s="4"/>
      <c r="Z28" s="4"/>
      <c r="AA28" s="4"/>
    </row>
    <row r="29" spans="1:27" x14ac:dyDescent="0.25">
      <c r="A29" s="4"/>
      <c r="B29" s="4"/>
      <c r="C29" s="4"/>
      <c r="D29" s="4"/>
      <c r="E29" s="4"/>
      <c r="F29" s="4"/>
      <c r="G29" s="4"/>
      <c r="H29" s="4"/>
      <c r="I29" s="4"/>
      <c r="J29" s="4"/>
      <c r="K29" s="4"/>
      <c r="L29" s="4"/>
      <c r="M29" s="4"/>
      <c r="N29" s="4"/>
      <c r="O29" s="4"/>
      <c r="P29" s="4"/>
      <c r="Q29" s="4"/>
      <c r="R29" s="4"/>
      <c r="S29" s="4"/>
      <c r="T29" s="4"/>
      <c r="U29" s="4"/>
      <c r="V29" s="4"/>
      <c r="W29" s="4"/>
      <c r="X29" s="4"/>
      <c r="Y29" s="4"/>
      <c r="Z29" s="4"/>
      <c r="AA29" s="4"/>
    </row>
    <row r="30" spans="1:27" ht="13.8" x14ac:dyDescent="0.25">
      <c r="A30" s="4"/>
      <c r="B30" s="4"/>
      <c r="C30" s="4"/>
      <c r="D30" s="4"/>
      <c r="E30" s="4"/>
      <c r="F30" s="4"/>
      <c r="G30" s="4"/>
      <c r="H30" s="4"/>
      <c r="I30" s="4"/>
      <c r="J30" s="4"/>
      <c r="K30" s="90" t="s">
        <v>21</v>
      </c>
      <c r="L30" s="20"/>
      <c r="M30" s="20"/>
      <c r="N30" s="20"/>
      <c r="O30" s="20"/>
      <c r="P30" s="20"/>
      <c r="Q30" s="20"/>
      <c r="R30" s="20"/>
      <c r="S30" s="20"/>
      <c r="T30" s="89"/>
      <c r="U30" s="4"/>
      <c r="V30" s="4"/>
      <c r="W30" s="4"/>
      <c r="X30" s="4"/>
      <c r="Y30" s="4"/>
      <c r="Z30" s="4"/>
      <c r="AA30" s="4"/>
    </row>
    <row r="31" spans="1:27" ht="12.75" customHeight="1" x14ac:dyDescent="0.25">
      <c r="A31" s="4"/>
      <c r="B31" s="4"/>
      <c r="C31" s="4"/>
      <c r="D31" s="4"/>
      <c r="E31" s="4"/>
      <c r="F31" s="4"/>
      <c r="G31" s="4"/>
      <c r="H31" s="4"/>
      <c r="I31" s="4"/>
      <c r="J31" s="4"/>
      <c r="K31" s="359" t="s">
        <v>256</v>
      </c>
      <c r="L31" s="360"/>
      <c r="M31" s="360"/>
      <c r="N31" s="360"/>
      <c r="O31" s="360"/>
      <c r="P31" s="360"/>
      <c r="Q31" s="360"/>
      <c r="R31" s="360"/>
      <c r="S31" s="360"/>
      <c r="T31" s="361"/>
      <c r="U31" s="4"/>
      <c r="V31" s="4"/>
      <c r="W31" s="4"/>
      <c r="X31" s="4"/>
      <c r="Y31" s="4"/>
      <c r="Z31" s="4"/>
      <c r="AA31" s="4"/>
    </row>
    <row r="32" spans="1:27" x14ac:dyDescent="0.25">
      <c r="A32" s="4"/>
      <c r="B32" s="4"/>
      <c r="C32" s="4"/>
      <c r="D32" s="4"/>
      <c r="E32" s="4"/>
      <c r="F32" s="4"/>
      <c r="G32" s="4"/>
      <c r="H32" s="4"/>
      <c r="I32" s="4"/>
      <c r="J32" s="4"/>
      <c r="K32" s="359"/>
      <c r="L32" s="360"/>
      <c r="M32" s="360"/>
      <c r="N32" s="360"/>
      <c r="O32" s="360"/>
      <c r="P32" s="360"/>
      <c r="Q32" s="360"/>
      <c r="R32" s="360"/>
      <c r="S32" s="360"/>
      <c r="T32" s="361"/>
      <c r="U32" s="4"/>
      <c r="V32" s="4"/>
      <c r="W32" s="4"/>
      <c r="X32" s="4"/>
      <c r="Y32" s="4"/>
      <c r="Z32" s="4"/>
      <c r="AA32" s="4"/>
    </row>
    <row r="33" spans="1:27" x14ac:dyDescent="0.25">
      <c r="A33" s="4"/>
      <c r="B33" s="4"/>
      <c r="C33" s="4"/>
      <c r="D33" s="4"/>
      <c r="E33" s="4"/>
      <c r="F33" s="4"/>
      <c r="G33" s="4"/>
      <c r="H33" s="4"/>
      <c r="I33" s="4"/>
      <c r="J33" s="4"/>
      <c r="K33" s="362"/>
      <c r="L33" s="363"/>
      <c r="M33" s="363"/>
      <c r="N33" s="363"/>
      <c r="O33" s="363"/>
      <c r="P33" s="363"/>
      <c r="Q33" s="363"/>
      <c r="R33" s="363"/>
      <c r="S33" s="363"/>
      <c r="T33" s="364"/>
      <c r="U33" s="4"/>
      <c r="V33" s="4"/>
      <c r="W33" s="4"/>
      <c r="X33" s="4"/>
      <c r="Y33" s="4"/>
      <c r="Z33" s="4"/>
      <c r="AA33" s="4"/>
    </row>
    <row r="34" spans="1:27" ht="13.8" x14ac:dyDescent="0.25">
      <c r="A34" s="4"/>
      <c r="B34" s="4"/>
      <c r="C34" s="4"/>
      <c r="D34" s="4"/>
      <c r="E34" s="4"/>
      <c r="F34" s="4"/>
      <c r="G34" s="4"/>
      <c r="H34" s="4"/>
      <c r="I34" s="4"/>
      <c r="J34" s="4"/>
      <c r="K34" s="213"/>
      <c r="L34" s="213"/>
      <c r="M34" s="213"/>
      <c r="N34" s="213"/>
      <c r="O34" s="213"/>
      <c r="P34" s="213"/>
      <c r="Q34" s="213"/>
      <c r="R34" s="213"/>
      <c r="S34" s="213"/>
      <c r="T34" s="213"/>
      <c r="U34" s="4"/>
      <c r="V34" s="4"/>
      <c r="W34" s="4"/>
      <c r="X34" s="4"/>
      <c r="Y34" s="4"/>
      <c r="Z34" s="4"/>
      <c r="AA34" s="4"/>
    </row>
    <row r="35" spans="1:27" ht="13.8" x14ac:dyDescent="0.25">
      <c r="A35" s="4"/>
      <c r="B35" s="4"/>
      <c r="C35" s="4"/>
      <c r="D35" s="4"/>
      <c r="E35" s="4"/>
      <c r="F35" s="4"/>
      <c r="G35" s="4"/>
      <c r="H35" s="4"/>
      <c r="I35" s="4"/>
      <c r="J35" s="4"/>
      <c r="K35" s="35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35" s="357"/>
      <c r="M35" s="357"/>
      <c r="N35" s="357"/>
      <c r="O35" s="357"/>
      <c r="P35" s="357"/>
      <c r="Q35" s="357"/>
      <c r="R35" s="357"/>
      <c r="S35" s="357"/>
      <c r="T35" s="358"/>
      <c r="U35" s="4"/>
      <c r="V35" s="4"/>
      <c r="W35" s="4"/>
      <c r="X35" s="4"/>
      <c r="Y35" s="4"/>
      <c r="Z35" s="4"/>
      <c r="AA35" s="4"/>
    </row>
    <row r="36" spans="1:27" x14ac:dyDescent="0.25">
      <c r="A36" s="4"/>
      <c r="B36" s="4"/>
      <c r="C36" s="4"/>
      <c r="D36" s="4"/>
      <c r="E36" s="4"/>
      <c r="F36" s="4"/>
      <c r="G36" s="4"/>
      <c r="H36" s="4"/>
      <c r="I36" s="4"/>
      <c r="J36" s="4"/>
      <c r="K36" s="4"/>
      <c r="L36" s="4"/>
      <c r="M36" s="4"/>
      <c r="N36" s="4"/>
      <c r="O36" s="4"/>
      <c r="P36" s="4"/>
      <c r="Q36" s="4"/>
      <c r="R36" s="4"/>
      <c r="S36" s="4"/>
      <c r="T36" s="4"/>
      <c r="U36" s="4"/>
      <c r="V36" s="4"/>
      <c r="W36" s="4"/>
      <c r="X36" s="4"/>
      <c r="Y36" s="4"/>
      <c r="Z36" s="4"/>
      <c r="AA36" s="4"/>
    </row>
    <row r="37" spans="1:27" ht="21" customHeight="1" x14ac:dyDescent="0.25">
      <c r="A37" s="4"/>
      <c r="B37" s="4"/>
      <c r="C37" s="4"/>
      <c r="D37" s="4"/>
      <c r="E37" s="4"/>
      <c r="F37" s="4"/>
      <c r="G37" s="4"/>
      <c r="H37" s="4"/>
      <c r="I37" s="4"/>
      <c r="J37" s="4"/>
      <c r="K37" s="4"/>
      <c r="L37" s="4"/>
      <c r="M37" s="4"/>
      <c r="N37" s="4"/>
      <c r="O37" s="4"/>
      <c r="P37" s="4"/>
      <c r="Q37" s="4"/>
      <c r="R37" s="4"/>
      <c r="S37" s="4"/>
      <c r="T37" s="4"/>
      <c r="U37" s="4"/>
      <c r="V37" s="4"/>
      <c r="W37" s="4"/>
      <c r="X37" s="4"/>
      <c r="Y37" s="4"/>
      <c r="Z37" s="4"/>
      <c r="AA37" s="4"/>
    </row>
    <row r="38" spans="1:27" x14ac:dyDescent="0.25">
      <c r="A38" s="4"/>
      <c r="B38" s="4"/>
      <c r="C38" s="4"/>
      <c r="D38" s="4"/>
      <c r="E38" s="4"/>
      <c r="F38" s="4"/>
      <c r="G38" s="4"/>
      <c r="H38" s="4"/>
      <c r="I38" s="4"/>
      <c r="J38" s="4"/>
      <c r="K38" s="369" t="str">
        <f>Import.Município</f>
        <v>BENTO GONÇALVES/RS</v>
      </c>
      <c r="L38" s="369"/>
      <c r="M38" s="369"/>
      <c r="N38" s="4"/>
      <c r="O38" s="4"/>
      <c r="P38" s="4"/>
      <c r="Q38" s="4"/>
      <c r="R38" s="4"/>
      <c r="S38" s="4"/>
      <c r="T38" s="4"/>
      <c r="U38" s="4"/>
      <c r="V38" s="4"/>
      <c r="W38" s="4"/>
      <c r="X38" s="4"/>
      <c r="Y38" s="4"/>
      <c r="Z38" s="4"/>
      <c r="AA38" s="4"/>
    </row>
    <row r="39" spans="1:27" x14ac:dyDescent="0.25">
      <c r="A39" s="4"/>
      <c r="B39" s="4"/>
      <c r="C39" s="4"/>
      <c r="D39" s="4"/>
      <c r="E39" s="4"/>
      <c r="F39" s="4"/>
      <c r="G39" s="4"/>
      <c r="H39" s="4"/>
      <c r="I39" s="4"/>
      <c r="J39" s="4"/>
      <c r="K39" s="112" t="s">
        <v>120</v>
      </c>
      <c r="L39" s="4"/>
      <c r="M39" s="4"/>
      <c r="N39" s="4"/>
      <c r="O39" s="4"/>
      <c r="P39" s="4"/>
      <c r="Q39" s="4"/>
      <c r="R39" s="4"/>
      <c r="S39" s="4"/>
      <c r="T39" s="4"/>
      <c r="U39" s="4"/>
      <c r="V39" s="4"/>
      <c r="W39" s="4"/>
      <c r="X39" s="4"/>
      <c r="Y39" s="4"/>
      <c r="Z39" s="4"/>
      <c r="AA39" s="4"/>
    </row>
    <row r="40" spans="1:27" x14ac:dyDescent="0.25">
      <c r="A40" s="4"/>
      <c r="B40" s="4"/>
      <c r="C40" s="4"/>
      <c r="D40" s="4"/>
      <c r="E40" s="4"/>
      <c r="F40" s="4"/>
      <c r="G40" s="4"/>
      <c r="H40" s="4"/>
      <c r="I40" s="4"/>
      <c r="J40" s="4"/>
      <c r="K40" s="4"/>
      <c r="L40" s="4"/>
      <c r="M40" s="4"/>
      <c r="N40" s="4"/>
      <c r="O40" s="4"/>
      <c r="P40" s="4"/>
      <c r="Q40" s="4"/>
      <c r="R40" s="4"/>
      <c r="S40" s="4"/>
      <c r="T40" s="4"/>
      <c r="U40" s="4"/>
      <c r="V40" s="4"/>
      <c r="W40" s="4"/>
      <c r="X40" s="4"/>
      <c r="Y40" s="4"/>
      <c r="Z40" s="4"/>
      <c r="AA40" s="4"/>
    </row>
    <row r="41" spans="1:27" x14ac:dyDescent="0.25">
      <c r="A41" s="4"/>
      <c r="B41" s="4"/>
      <c r="C41" s="4"/>
      <c r="D41" s="4"/>
      <c r="E41" s="4"/>
      <c r="F41" s="4"/>
      <c r="G41" s="4"/>
      <c r="H41" s="4"/>
      <c r="I41" s="4"/>
      <c r="J41" s="4"/>
      <c r="K41" s="368">
        <f ca="1">TODAY()</f>
        <v>45684</v>
      </c>
      <c r="L41" s="368"/>
      <c r="M41" s="368"/>
      <c r="N41" s="4"/>
      <c r="O41" s="4"/>
      <c r="P41" s="4"/>
      <c r="Q41" s="4"/>
      <c r="R41" s="4"/>
      <c r="S41" s="4"/>
      <c r="T41" s="4"/>
      <c r="U41" s="4"/>
      <c r="V41" s="4"/>
      <c r="W41" s="4"/>
      <c r="X41" s="4"/>
      <c r="Y41" s="4"/>
      <c r="Z41" s="4"/>
      <c r="AA41" s="4"/>
    </row>
    <row r="42" spans="1:27" x14ac:dyDescent="0.25">
      <c r="A42" s="4"/>
      <c r="B42" s="4"/>
      <c r="C42" s="4"/>
      <c r="D42" s="4"/>
      <c r="E42" s="4"/>
      <c r="F42" s="4"/>
      <c r="G42" s="4"/>
      <c r="H42" s="4"/>
      <c r="I42" s="4"/>
      <c r="J42" s="4"/>
      <c r="K42" s="141" t="s">
        <v>121</v>
      </c>
      <c r="L42" s="83"/>
      <c r="M42" s="83"/>
      <c r="N42" s="4"/>
      <c r="O42" s="4"/>
      <c r="P42" s="4"/>
      <c r="Q42" s="4"/>
      <c r="R42" s="4"/>
      <c r="S42" s="4"/>
      <c r="T42" s="4"/>
      <c r="U42" s="4"/>
      <c r="V42" s="4"/>
      <c r="W42" s="4"/>
      <c r="X42" s="4"/>
      <c r="Y42" s="4"/>
      <c r="Z42" s="4"/>
      <c r="AA42" s="4"/>
    </row>
  </sheetData>
  <sheetProtection password="C95B" sheet="1" objects="1" scenarios="1"/>
  <mergeCells count="6">
    <mergeCell ref="W2:X2"/>
    <mergeCell ref="K35:T35"/>
    <mergeCell ref="K31:T33"/>
    <mergeCell ref="M28:T28"/>
    <mergeCell ref="K41:M41"/>
    <mergeCell ref="K38:M38"/>
  </mergeCells>
  <phoneticPr fontId="25" type="noConversion"/>
  <conditionalFormatting sqref="O12:R12 L12:M12">
    <cfRule type="expression" dxfId="214" priority="3317" stopIfTrue="1">
      <formula>$J12=$C$2</formula>
    </cfRule>
    <cfRule type="expression" dxfId="213" priority="3318" stopIfTrue="1">
      <formula>UPPER(LEFT($J12,5))="NÍVEL"</formula>
    </cfRule>
    <cfRule type="expression" dxfId="212" priority="3319" stopIfTrue="1">
      <formula>$J12=$C$8</formula>
    </cfRule>
  </conditionalFormatting>
  <conditionalFormatting sqref="Y12:Z12 S12:T12 K12">
    <cfRule type="expression" dxfId="211" priority="3320" stopIfTrue="1">
      <formula>$J12=$C$2</formula>
    </cfRule>
    <cfRule type="expression" dxfId="210" priority="3321" stopIfTrue="1">
      <formula>UPPER(LEFT($J12,5))="NÍVEL"</formula>
    </cfRule>
  </conditionalFormatting>
  <conditionalFormatting sqref="K11 K13:K16 K24:K26">
    <cfRule type="expression" dxfId="209" priority="3333" stopIfTrue="1">
      <formula>$J11=$C$2</formula>
    </cfRule>
    <cfRule type="expression" dxfId="208" priority="3334" stopIfTrue="1">
      <formula>AND($J11&lt;&gt;"",$J11&lt;&gt;"Serviço")</formula>
    </cfRule>
    <cfRule type="expression" dxfId="207" priority="3335" stopIfTrue="1">
      <formula>$J11=""</formula>
    </cfRule>
  </conditionalFormatting>
  <conditionalFormatting sqref="P11 P13:P16 P24:P26">
    <cfRule type="expression" dxfId="206" priority="1660" stopIfTrue="1">
      <formula>$J11=$C$2</formula>
    </cfRule>
    <cfRule type="expression" dxfId="205" priority="3339" stopIfTrue="1">
      <formula>AND($J11&lt;&gt;"Serviço")</formula>
    </cfRule>
    <cfRule type="expression" dxfId="204" priority="3340" stopIfTrue="1">
      <formula>CELL("proteger",P11)</formula>
    </cfRule>
  </conditionalFormatting>
  <conditionalFormatting sqref="Q11:R11 Q13:R16 Q24:R26">
    <cfRule type="expression" dxfId="203" priority="3341" stopIfTrue="1">
      <formula>$J11=$C$2</formula>
    </cfRule>
    <cfRule type="expression" dxfId="202" priority="3342" stopIfTrue="1">
      <formula>$J11&lt;&gt;"Serviço"</formula>
    </cfRule>
    <cfRule type="expression" dxfId="201" priority="3343" stopIfTrue="1">
      <formula>CELL("proteger",Q11)</formula>
    </cfRule>
  </conditionalFormatting>
  <conditionalFormatting sqref="S11:T11 Y11:Z11 S13:T16 Y13:Z16 Y24:Z26 S24:T26">
    <cfRule type="expression" dxfId="200" priority="3344" stopIfTrue="1">
      <formula>$J11=$C$2</formula>
    </cfRule>
    <cfRule type="expression" dxfId="199" priority="3345" stopIfTrue="1">
      <formula>$J11&lt;&gt;"Serviço"</formula>
    </cfRule>
  </conditionalFormatting>
  <conditionalFormatting sqref="L11:M11 L13:M16 L24:M26">
    <cfRule type="expression" dxfId="198" priority="3365" stopIfTrue="1">
      <formula>$J11=$C$2</formula>
    </cfRule>
    <cfRule type="expression" dxfId="197" priority="3366" stopIfTrue="1">
      <formula>$J11&lt;&gt;"Serviço"</formula>
    </cfRule>
    <cfRule type="expression" dxfId="196" priority="3367" stopIfTrue="1">
      <formula>OR(CELL("proteger",L11),$J11="",TipoOrçamento="Licitado")</formula>
    </cfRule>
  </conditionalFormatting>
  <conditionalFormatting sqref="K28:T28">
    <cfRule type="expression" dxfId="195" priority="3346" stopIfTrue="1">
      <formula>OR(Tipo.Orçamento="LICITADO",Tipo.Orçamento="REPROGRAMADOAC")</formula>
    </cfRule>
    <cfRule type="expression" dxfId="194" priority="3347" stopIfTrue="1">
      <formula>$M$28=""</formula>
    </cfRule>
  </conditionalFormatting>
  <conditionalFormatting sqref="J11 J13 J24">
    <cfRule type="expression" dxfId="193" priority="3374" stopIfTrue="1">
      <formula>TipoOrçamento="Licitado"</formula>
    </cfRule>
  </conditionalFormatting>
  <conditionalFormatting sqref="O11 O13:O16 O24:O26">
    <cfRule type="expression" dxfId="192" priority="1680" stopIfTrue="1">
      <formula>$J11=$C$2</formula>
    </cfRule>
    <cfRule type="expression" dxfId="191" priority="1681" stopIfTrue="1">
      <formula>AND($J11&lt;&gt;"Serviço")</formula>
    </cfRule>
    <cfRule type="expression" dxfId="190" priority="1682" stopIfTrue="1">
      <formula>CELL("proteger",O11)</formula>
    </cfRule>
  </conditionalFormatting>
  <conditionalFormatting sqref="N11 N14:N16 N24:N26">
    <cfRule type="expression" dxfId="189" priority="1683" stopIfTrue="1">
      <formula>$J11=$C$2</formula>
    </cfRule>
    <cfRule type="expression" dxfId="188" priority="1684" stopIfTrue="1">
      <formula>$J11&lt;&gt;"Serviço"</formula>
    </cfRule>
    <cfRule type="expression" dxfId="187" priority="1685" stopIfTrue="1">
      <formula>CELL("proteger",N11)</formula>
    </cfRule>
  </conditionalFormatting>
  <conditionalFormatting sqref="N13">
    <cfRule type="expression" dxfId="186" priority="1549" stopIfTrue="1">
      <formula>$J13=$C$2</formula>
    </cfRule>
    <cfRule type="expression" dxfId="185" priority="1550" stopIfTrue="1">
      <formula>$J13&lt;&gt;"Serviço"</formula>
    </cfRule>
    <cfRule type="expression" dxfId="184" priority="1551" stopIfTrue="1">
      <formula>CELL("proteger",N13)</formula>
    </cfRule>
  </conditionalFormatting>
  <conditionalFormatting sqref="J14">
    <cfRule type="expression" dxfId="183" priority="1140" stopIfTrue="1">
      <formula>TipoOrçamento="Licitado"</formula>
    </cfRule>
  </conditionalFormatting>
  <conditionalFormatting sqref="J26">
    <cfRule type="expression" dxfId="182" priority="255" stopIfTrue="1">
      <formula>TipoOrçamento="Licitado"</formula>
    </cfRule>
  </conditionalFormatting>
  <conditionalFormatting sqref="J25">
    <cfRule type="expression" dxfId="181" priority="213" stopIfTrue="1">
      <formula>TipoOrçamento="Licitado"</formula>
    </cfRule>
  </conditionalFormatting>
  <conditionalFormatting sqref="J15">
    <cfRule type="expression" dxfId="180" priority="192" stopIfTrue="1">
      <formula>TipoOrçamento="Licitado"</formula>
    </cfRule>
  </conditionalFormatting>
  <conditionalFormatting sqref="J16">
    <cfRule type="expression" dxfId="179" priority="150" stopIfTrue="1">
      <formula>TipoOrçamento="Licitado"</formula>
    </cfRule>
  </conditionalFormatting>
  <conditionalFormatting sqref="K17:K20 K22:K23">
    <cfRule type="expression" dxfId="178" priority="53" stopIfTrue="1">
      <formula>$J17=$C$2</formula>
    </cfRule>
    <cfRule type="expression" dxfId="177" priority="54" stopIfTrue="1">
      <formula>AND($J17&lt;&gt;"",$J17&lt;&gt;"Serviço")</formula>
    </cfRule>
    <cfRule type="expression" dxfId="176" priority="55" stopIfTrue="1">
      <formula>$J17=""</formula>
    </cfRule>
  </conditionalFormatting>
  <conditionalFormatting sqref="P17:P20 P22:P23">
    <cfRule type="expression" dxfId="175" priority="46" stopIfTrue="1">
      <formula>$J17=$C$2</formula>
    </cfRule>
    <cfRule type="expression" dxfId="174" priority="56" stopIfTrue="1">
      <formula>AND($J17&lt;&gt;"Serviço")</formula>
    </cfRule>
    <cfRule type="expression" dxfId="173" priority="57" stopIfTrue="1">
      <formula>CELL("proteger",P17)</formula>
    </cfRule>
  </conditionalFormatting>
  <conditionalFormatting sqref="Q17:R20 Q22:R23">
    <cfRule type="expression" dxfId="172" priority="58" stopIfTrue="1">
      <formula>$J17=$C$2</formula>
    </cfRule>
    <cfRule type="expression" dxfId="171" priority="59" stopIfTrue="1">
      <formula>$J17&lt;&gt;"Serviço"</formula>
    </cfRule>
    <cfRule type="expression" dxfId="170" priority="60" stopIfTrue="1">
      <formula>CELL("proteger",Q17)</formula>
    </cfRule>
  </conditionalFormatting>
  <conditionalFormatting sqref="S17:T20 Y17:Z20 Y22:Z23 S22:T23">
    <cfRule type="expression" dxfId="169" priority="61" stopIfTrue="1">
      <formula>$J17=$C$2</formula>
    </cfRule>
    <cfRule type="expression" dxfId="168" priority="62" stopIfTrue="1">
      <formula>$J17&lt;&gt;"Serviço"</formula>
    </cfRule>
  </conditionalFormatting>
  <conditionalFormatting sqref="L17:M18">
    <cfRule type="expression" dxfId="167" priority="63" stopIfTrue="1">
      <formula>$J17=$C$2</formula>
    </cfRule>
    <cfRule type="expression" dxfId="166" priority="64" stopIfTrue="1">
      <formula>$J17&lt;&gt;"Serviço"</formula>
    </cfRule>
    <cfRule type="expression" dxfId="165" priority="65" stopIfTrue="1">
      <formula>OR(CELL("proteger",L17),$J17="",TipoOrçamento="Licitado")</formula>
    </cfRule>
  </conditionalFormatting>
  <conditionalFormatting sqref="J17:J20 J22:J23">
    <cfRule type="expression" dxfId="164" priority="66" stopIfTrue="1">
      <formula>TipoOrçamento="Licitado"</formula>
    </cfRule>
  </conditionalFormatting>
  <conditionalFormatting sqref="O17:O20 O22:O23">
    <cfRule type="expression" dxfId="163" priority="47" stopIfTrue="1">
      <formula>$J17=$C$2</formula>
    </cfRule>
    <cfRule type="expression" dxfId="162" priority="48" stopIfTrue="1">
      <formula>AND($J17&lt;&gt;"Serviço")</formula>
    </cfRule>
    <cfRule type="expression" dxfId="161" priority="49" stopIfTrue="1">
      <formula>CELL("proteger",O17)</formula>
    </cfRule>
  </conditionalFormatting>
  <conditionalFormatting sqref="N17:N20 N22:N23">
    <cfRule type="expression" dxfId="160" priority="50" stopIfTrue="1">
      <formula>$J17=$C$2</formula>
    </cfRule>
    <cfRule type="expression" dxfId="159" priority="51" stopIfTrue="1">
      <formula>$J17&lt;&gt;"Serviço"</formula>
    </cfRule>
    <cfRule type="expression" dxfId="158" priority="52" stopIfTrue="1">
      <formula>CELL("proteger",N17)</formula>
    </cfRule>
  </conditionalFormatting>
  <conditionalFormatting sqref="L19:M20 L22:M23">
    <cfRule type="expression" dxfId="157" priority="43" stopIfTrue="1">
      <formula>$J19=$C$2</formula>
    </cfRule>
    <cfRule type="expression" dxfId="156" priority="44" stopIfTrue="1">
      <formula>$J19&lt;&gt;"Serviço"</formula>
    </cfRule>
    <cfRule type="expression" dxfId="155" priority="45" stopIfTrue="1">
      <formula>OR(CELL("proteger",L19),$J19="",TipoOrçamento="Licitado")</formula>
    </cfRule>
  </conditionalFormatting>
  <conditionalFormatting sqref="K21">
    <cfRule type="expression" dxfId="154" priority="29" stopIfTrue="1">
      <formula>$J21=$C$2</formula>
    </cfRule>
    <cfRule type="expression" dxfId="153" priority="30" stopIfTrue="1">
      <formula>AND($J21&lt;&gt;"",$J21&lt;&gt;"Serviço")</formula>
    </cfRule>
    <cfRule type="expression" dxfId="152" priority="31" stopIfTrue="1">
      <formula>$J21=""</formula>
    </cfRule>
  </conditionalFormatting>
  <conditionalFormatting sqref="P21">
    <cfRule type="expression" dxfId="151" priority="22" stopIfTrue="1">
      <formula>$J21=$C$2</formula>
    </cfRule>
    <cfRule type="expression" dxfId="150" priority="32" stopIfTrue="1">
      <formula>AND($J21&lt;&gt;"Serviço")</formula>
    </cfRule>
    <cfRule type="expression" dxfId="149" priority="33" stopIfTrue="1">
      <formula>CELL("proteger",P21)</formula>
    </cfRule>
  </conditionalFormatting>
  <conditionalFormatting sqref="Q21:R21">
    <cfRule type="expression" dxfId="148" priority="34" stopIfTrue="1">
      <formula>$J21=$C$2</formula>
    </cfRule>
    <cfRule type="expression" dxfId="147" priority="35" stopIfTrue="1">
      <formula>$J21&lt;&gt;"Serviço"</formula>
    </cfRule>
    <cfRule type="expression" dxfId="146" priority="36" stopIfTrue="1">
      <formula>CELL("proteger",Q21)</formula>
    </cfRule>
  </conditionalFormatting>
  <conditionalFormatting sqref="S21:T21 Y21:Z21">
    <cfRule type="expression" dxfId="145" priority="37" stopIfTrue="1">
      <formula>$J21=$C$2</formula>
    </cfRule>
    <cfRule type="expression" dxfId="144" priority="38" stopIfTrue="1">
      <formula>$J21&lt;&gt;"Serviço"</formula>
    </cfRule>
  </conditionalFormatting>
  <conditionalFormatting sqref="L21:M21">
    <cfRule type="expression" dxfId="143" priority="39" stopIfTrue="1">
      <formula>$J21=$C$2</formula>
    </cfRule>
    <cfRule type="expression" dxfId="142" priority="40" stopIfTrue="1">
      <formula>$J21&lt;&gt;"Serviço"</formula>
    </cfRule>
    <cfRule type="expression" dxfId="141" priority="41" stopIfTrue="1">
      <formula>OR(CELL("proteger",L21),$J21="",TipoOrçamento="Licitado")</formula>
    </cfRule>
  </conditionalFormatting>
  <conditionalFormatting sqref="J21">
    <cfRule type="expression" dxfId="140" priority="42" stopIfTrue="1">
      <formula>TipoOrçamento="Licitado"</formula>
    </cfRule>
  </conditionalFormatting>
  <conditionalFormatting sqref="O21">
    <cfRule type="expression" dxfId="139" priority="23" stopIfTrue="1">
      <formula>$J21=$C$2</formula>
    </cfRule>
    <cfRule type="expression" dxfId="138" priority="24" stopIfTrue="1">
      <formula>AND($J21&lt;&gt;"Serviço")</formula>
    </cfRule>
    <cfRule type="expression" dxfId="137" priority="25" stopIfTrue="1">
      <formula>CELL("proteger",O21)</formula>
    </cfRule>
  </conditionalFormatting>
  <conditionalFormatting sqref="N21">
    <cfRule type="expression" dxfId="136" priority="26" stopIfTrue="1">
      <formula>$J21=$C$2</formula>
    </cfRule>
    <cfRule type="expression" dxfId="135" priority="27" stopIfTrue="1">
      <formula>$J21&lt;&gt;"Serviço"</formula>
    </cfRule>
    <cfRule type="expression" dxfId="134" priority="28" stopIfTrue="1">
      <formula>CELL("proteger",N21)</formula>
    </cfRule>
  </conditionalFormatting>
  <dataValidations count="3">
    <dataValidation type="decimal" operator="greaterThan" allowBlank="1" showInputMessage="1" showErrorMessage="1" error="Apenas números decimais maiores que zero." sqref="Q11 Q13:Q26">
      <formula1>0</formula1>
    </dataValidation>
    <dataValidation type="list" errorStyle="warning" allowBlank="1" showInputMessage="1" showErrorMessage="1" error="Selecione um dos 5 BDI da lista._x000a__x000a_Caso tenha mais de 5 BDI nesta Planilha Orçamentária digite apenas valor percentual." sqref="R11 R13:R26">
      <formula1>Dados.Lista.BDI</formula1>
    </dataValidation>
    <dataValidation type="list" showInputMessage="1" showErrorMessage="1" errorTitle="Erro de Entrada" error="Selecione somente os itens da lista." promptTitle="Nível:" prompt="Selecione na lista o nível de itemização da Planilha." sqref="J11 J14:J26">
      <formula1>$C$2:$G$2</formula1>
    </dataValidation>
  </dataValidations>
  <pageMargins left="0.78740157480314965" right="0.78740157480314965" top="0.78740157480314965" bottom="0.78740157480314965" header="0.59055118110236227" footer="0.59055118110236227"/>
  <pageSetup paperSize="9" scale="63" fitToHeight="0" orientation="landscape" r:id="rId1"/>
  <headerFooter alignWithMargins="0">
    <oddHeader>&amp;C&amp;14I</oddHeader>
    <oddFooter>&amp;R&amp;P&amp;L27.476 v008   micro</oddFooter>
  </headerFooter>
  <ignoredErrors>
    <ignoredError sqref="K38 K41"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33"/>
  <sheetViews>
    <sheetView showGridLines="0" zoomScale="70" zoomScaleNormal="70" workbookViewId="0">
      <selection activeCell="K27" sqref="K27"/>
    </sheetView>
  </sheetViews>
  <sheetFormatPr defaultRowHeight="13.2" x14ac:dyDescent="0.25"/>
  <cols>
    <col min="1" max="1" width="12.6640625" customWidth="1"/>
    <col min="2" max="2" width="10.6640625" customWidth="1"/>
    <col min="3" max="3" width="60.5546875" customWidth="1"/>
    <col min="4" max="4" width="7.6640625" customWidth="1"/>
    <col min="5" max="5" width="12.6640625" customWidth="1"/>
    <col min="6" max="15" width="11.6640625" customWidth="1"/>
    <col min="16" max="16" width="0.88671875" customWidth="1"/>
    <col min="21" max="21" width="11.6640625" hidden="1" customWidth="1"/>
  </cols>
  <sheetData>
    <row r="1" spans="1:21" s="4" customFormat="1" ht="17.25" customHeight="1" x14ac:dyDescent="0.3">
      <c r="E1" s="85" t="s">
        <v>63</v>
      </c>
      <c r="F1" s="36" t="s">
        <v>64</v>
      </c>
      <c r="K1" s="18"/>
      <c r="O1"/>
    </row>
    <row r="2" spans="1:21" s="4" customFormat="1" ht="15.6" x14ac:dyDescent="0.3">
      <c r="D2" s="6"/>
      <c r="E2" s="85"/>
      <c r="F2" s="36"/>
      <c r="K2" s="19"/>
      <c r="O2"/>
    </row>
    <row r="3" spans="1:21" s="4" customFormat="1" x14ac:dyDescent="0.25">
      <c r="K3" s="20"/>
      <c r="P3" s="20"/>
    </row>
    <row r="4" spans="1:21" s="4" customFormat="1" ht="39.9" customHeight="1" x14ac:dyDescent="0.25">
      <c r="P4" s="20"/>
    </row>
    <row r="5" spans="1:21" s="4" customFormat="1" ht="39.9" customHeight="1" x14ac:dyDescent="0.25">
      <c r="P5" s="20"/>
    </row>
    <row r="6" spans="1:21" s="4" customFormat="1" ht="20.25" customHeight="1" x14ac:dyDescent="0.25">
      <c r="P6" s="20"/>
    </row>
    <row r="7" spans="1:21" s="4" customFormat="1" ht="12.75" hidden="1" customHeight="1" x14ac:dyDescent="0.25">
      <c r="E7" s="224">
        <f ca="1">OFFSET(PO!$P$12,ROW($E7)-ROW(E$12),0)</f>
        <v>0</v>
      </c>
      <c r="P7" s="20"/>
    </row>
    <row r="8" spans="1:21" s="4" customFormat="1" ht="9.9" customHeight="1" x14ac:dyDescent="0.25">
      <c r="P8" s="20"/>
    </row>
    <row r="9" spans="1:21" s="4" customFormat="1" ht="60" customHeight="1" x14ac:dyDescent="0.25">
      <c r="B9" s="17"/>
      <c r="C9" s="14"/>
      <c r="D9" s="9"/>
      <c r="E9" s="146" t="s">
        <v>46</v>
      </c>
      <c r="F9" s="399" t="s">
        <v>237</v>
      </c>
      <c r="G9" s="399"/>
      <c r="H9" s="399"/>
      <c r="I9" s="399"/>
      <c r="J9" s="399"/>
      <c r="K9" s="399"/>
      <c r="L9" s="399"/>
      <c r="M9" s="399"/>
      <c r="N9" s="399"/>
      <c r="O9" s="399"/>
      <c r="U9" s="122"/>
    </row>
    <row r="10" spans="1:21" s="15" customFormat="1" ht="30" customHeight="1" x14ac:dyDescent="0.25">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5">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5">
      <c r="A12" s="76" t="str">
        <f>PO!J12</f>
        <v>CTEF</v>
      </c>
      <c r="B12" s="76"/>
      <c r="C12" s="76">
        <f>PO!N12</f>
        <v>0</v>
      </c>
      <c r="D12" s="76"/>
      <c r="E12" s="216"/>
      <c r="F12" s="217"/>
      <c r="G12" s="217"/>
      <c r="H12" s="217"/>
      <c r="I12" s="217"/>
      <c r="J12" s="217"/>
      <c r="K12" s="217"/>
      <c r="L12" s="217"/>
      <c r="M12" s="217"/>
      <c r="N12" s="217"/>
      <c r="O12" s="217"/>
      <c r="U12" s="217"/>
    </row>
    <row r="13" spans="1:21" s="4" customFormat="1" x14ac:dyDescent="0.25">
      <c r="A13" s="126" t="str">
        <f ca="1">OFFSET(PO!J$12,ROW(A13)-ROW($A$12),0)</f>
        <v>Meta</v>
      </c>
      <c r="B13" s="130" t="str">
        <f ca="1">IF($A13=0,"",OFFSET(PO!K$12,ROW(B13)-ROW(B$12),0))</f>
        <v>1.</v>
      </c>
      <c r="C13" s="127" t="str">
        <f ca="1">IF(OFFSET(PO!N$12,ROW(C13)-ROW(C$12),0)=0,"",OFFSET(PO!N$12,ROW(C13)-ROW(C$12),0))</f>
        <v>SERVIÇO INICIAIS</v>
      </c>
      <c r="D13" s="129" t="str">
        <f ca="1">IF(OFFSET(PO!O$12,ROW(D13)-ROW(D$12),0)=0,"",OFFSET(PO!O$12,ROW(D13)-ROW(D$12),0))</f>
        <v/>
      </c>
      <c r="E13" s="165">
        <f ca="1">IF($A13&lt;&gt;"Serviço",0,ROUND(SUMIF($F$9:$P$9,"&lt;&gt;",$F13:$P13),15-13*PO!$X$3))</f>
        <v>0</v>
      </c>
      <c r="F13" s="398">
        <f ca="1">OFFSET(PO!$P$12,ROW($E13)-ROW(F$12),0)</f>
        <v>0</v>
      </c>
      <c r="G13" s="398"/>
      <c r="H13" s="398"/>
      <c r="I13" s="398"/>
      <c r="J13" s="398"/>
      <c r="K13" s="398"/>
      <c r="L13" s="398"/>
      <c r="M13" s="398"/>
      <c r="N13" s="398"/>
      <c r="O13" s="398"/>
      <c r="U13" s="215"/>
    </row>
    <row r="14" spans="1:21" s="4" customFormat="1" ht="26.4" x14ac:dyDescent="0.25">
      <c r="A14" s="128" t="str">
        <f ca="1">OFFSET(PO!J$12,ROW(A14)-ROW($A$12),0)</f>
        <v>Serviço</v>
      </c>
      <c r="B14" s="130" t="str">
        <f ca="1">IF($A14=0,"",OFFSET(PO!K$12,ROW(B14)-ROW(B$12),0))</f>
        <v>1.1.</v>
      </c>
      <c r="C14" s="127" t="str">
        <f ca="1">IF(OFFSET(PO!N$12,ROW(C14)-ROW(C$12),0)=0,"",OFFSET(PO!N$12,ROW(C14)-ROW(C$12),0))</f>
        <v>FORNECIMENTO E INSTALAÇÃO DE PLACA DE OBRA COM CHAPA GALVANIZADA E ESTRUTURA DE MADEIRA. AF_03/2022_PS</v>
      </c>
      <c r="D14" s="129" t="str">
        <f ca="1">IF(OFFSET(PO!O$12,ROW(D14)-ROW(D$12),0)=0,"",OFFSET(PO!O$12,ROW(D14)-ROW(D$12),0))</f>
        <v>M2</v>
      </c>
      <c r="E14" s="165">
        <f ca="1">IF($A14&lt;&gt;"Serviço",0,ROUND(SUMIF($F$9:$P$9,"&lt;&gt;",$F14:$P14),15-13*PO!$X$3))</f>
        <v>4.5</v>
      </c>
      <c r="F14" s="398">
        <f ca="1">OFFSET(PO!$P$12,ROW($E14)-ROW(F$12),0)</f>
        <v>4.5</v>
      </c>
      <c r="G14" s="398"/>
      <c r="H14" s="398"/>
      <c r="I14" s="398"/>
      <c r="J14" s="398"/>
      <c r="K14" s="398"/>
      <c r="L14" s="398"/>
      <c r="M14" s="398"/>
      <c r="N14" s="398"/>
      <c r="O14" s="398"/>
      <c r="U14" s="215"/>
    </row>
    <row r="15" spans="1:21" s="4" customFormat="1" x14ac:dyDescent="0.25">
      <c r="A15" s="128" t="str">
        <f ca="1">OFFSET(PO!J$12,ROW(A15)-ROW($A$12),0)</f>
        <v>Meta</v>
      </c>
      <c r="B15" s="130" t="str">
        <f ca="1">IF($A15=0,"",OFFSET(PO!K$12,ROW(B15)-ROW(B$12),0))</f>
        <v>2.</v>
      </c>
      <c r="C15" s="127" t="str">
        <f ca="1">IF(OFFSET(PO!N$12,ROW(C15)-ROW(C$12),0)=0,"",OFFSET(PO!N$12,ROW(C15)-ROW(C$12),0))</f>
        <v>DRENAGEM</v>
      </c>
      <c r="D15" s="129" t="str">
        <f ca="1">IF(OFFSET(PO!O$12,ROW(D15)-ROW(D$12),0)=0,"",OFFSET(PO!O$12,ROW(D15)-ROW(D$12),0))</f>
        <v/>
      </c>
      <c r="E15" s="165">
        <f ca="1">IF($A15&lt;&gt;"Serviço",0,ROUND(SUMIF($F$9:$P$9,"&lt;&gt;",$F15:$P15),15-13*PO!$X$3))</f>
        <v>0</v>
      </c>
      <c r="F15" s="398">
        <f ca="1">OFFSET(PO!$P$12,ROW($E15)-ROW(F$12),0)</f>
        <v>0</v>
      </c>
      <c r="G15" s="398"/>
      <c r="H15" s="398"/>
      <c r="I15" s="398"/>
      <c r="J15" s="398"/>
      <c r="K15" s="398"/>
      <c r="L15" s="398"/>
      <c r="M15" s="398"/>
      <c r="N15" s="398"/>
      <c r="O15" s="398"/>
      <c r="U15" s="215"/>
    </row>
    <row r="16" spans="1:21" s="4" customFormat="1" ht="39.6" x14ac:dyDescent="0.25">
      <c r="A16" s="128" t="str">
        <f ca="1">OFFSET(PO!J$12,ROW(A16)-ROW($A$12),0)</f>
        <v>Serviço</v>
      </c>
      <c r="B16" s="130" t="str">
        <f ca="1">IF($A16=0,"",OFFSET(PO!K$12,ROW(B16)-ROW(B$12),0))</f>
        <v>2.1.</v>
      </c>
      <c r="C16" s="127" t="str">
        <f ca="1">IF(OFFSET(PO!N$12,ROW(C16)-ROW(C$12),0)=0,"",OFFSET(PO!N$12,ROW(C16)-ROW(C$12),0))</f>
        <v>REMOÇÃO DE PISO DE BLOCO INTERTRAVADO OU DE PEDRA PORTUGUESA, DE FORMA MANUAL, COM REAPROVEITAMENTO. AF_09/2023</v>
      </c>
      <c r="D16" s="129" t="str">
        <f ca="1">IF(OFFSET(PO!O$12,ROW(D16)-ROW(D$12),0)=0,"",OFFSET(PO!O$12,ROW(D16)-ROW(D$12),0))</f>
        <v>M2</v>
      </c>
      <c r="E16" s="165">
        <f ca="1">IF($A16&lt;&gt;"Serviço",0,ROUND(SUMIF($F$9:$P$9,"&lt;&gt;",$F16:$P16),15-13*PO!$X$3))</f>
        <v>350</v>
      </c>
      <c r="F16" s="398">
        <f ca="1">OFFSET(PO!$P$12,ROW($E16)-ROW(F$12),0)</f>
        <v>350</v>
      </c>
      <c r="G16" s="398"/>
      <c r="H16" s="398"/>
      <c r="I16" s="398"/>
      <c r="J16" s="398"/>
      <c r="K16" s="398"/>
      <c r="L16" s="398"/>
      <c r="M16" s="398"/>
      <c r="N16" s="398"/>
      <c r="O16" s="398"/>
      <c r="U16" s="215"/>
    </row>
    <row r="17" spans="1:21" s="4" customFormat="1" ht="66" x14ac:dyDescent="0.25">
      <c r="A17" s="128" t="str">
        <f ca="1">OFFSET(PO!J$12,ROW(A17)-ROW($A$12),0)</f>
        <v>Serviço</v>
      </c>
      <c r="B17" s="130" t="str">
        <f ca="1">IF($A17=0,"",OFFSET(PO!K$12,ROW(B17)-ROW(B$12),0))</f>
        <v>2.2.</v>
      </c>
      <c r="C17" s="127" t="str">
        <f ca="1">IF(OFFSET(PO!N$12,ROW(C17)-ROW(C$12),0)=0,"",OFFSET(PO!N$12,ROW(C17)-ROW(C$12),0))</f>
        <v>ESCAVAÇÃO MECANIZADA DE VALA COM PROF. DE 3,0 M ATÉ 4,5 M (MÉDIA MONTANTE E JUSANTE/UMA COMPOSIÇÃO POR TRECHO), ESCAVADEIRA (1,2 M3), LARG. DE 1,5 M A 2,5 M, EM SOLO DE 2A CATEGORIA, EM LOCAIS COM ALTO NÍVEL DE INTERFERÊNCIA. AF_02/2021</v>
      </c>
      <c r="D17" s="129" t="str">
        <f ca="1">IF(OFFSET(PO!O$12,ROW(D17)-ROW(D$12),0)=0,"",OFFSET(PO!O$12,ROW(D17)-ROW(D$12),0))</f>
        <v>M3</v>
      </c>
      <c r="E17" s="165">
        <f ca="1">IF($A17&lt;&gt;"Serviço",0,ROUND(SUMIF($F$9:$P$9,"&lt;&gt;",$F17:$P17),15-13*PO!$X$3))</f>
        <v>180</v>
      </c>
      <c r="F17" s="398">
        <f ca="1">OFFSET(PO!$P$12,ROW($E17)-ROW(F$12),0)</f>
        <v>180</v>
      </c>
      <c r="G17" s="398"/>
      <c r="H17" s="398"/>
      <c r="I17" s="398"/>
      <c r="J17" s="398"/>
      <c r="K17" s="398"/>
      <c r="L17" s="398"/>
      <c r="M17" s="398"/>
      <c r="N17" s="398"/>
      <c r="O17" s="398"/>
      <c r="U17" s="215"/>
    </row>
    <row r="18" spans="1:21" s="4" customFormat="1" ht="39.6" x14ac:dyDescent="0.25">
      <c r="A18" s="128" t="str">
        <f ca="1">OFFSET(PO!J$12,ROW(A18)-ROW($A$12),0)</f>
        <v>Serviço</v>
      </c>
      <c r="B18" s="130" t="str">
        <f ca="1">IF($A18=0,"",OFFSET(PO!K$12,ROW(B18)-ROW(B$12),0))</f>
        <v>2.3.</v>
      </c>
      <c r="C18" s="127" t="str">
        <f ca="1">IF(OFFSET(PO!N$12,ROW(C18)-ROW(C$12),0)=0,"",OFFSET(PO!N$12,ROW(C18)-ROW(C$12),0))</f>
        <v>PREPARO DE FUNDO DE VALA COM LARGURA MAIOR OU IGUAL A 1,5 M E MENOR QUE 2,5 M (ACERTO DO SOLO NATURAL). AF_08/2020</v>
      </c>
      <c r="D18" s="129" t="str">
        <f ca="1">IF(OFFSET(PO!O$12,ROW(D18)-ROW(D$12),0)=0,"",OFFSET(PO!O$12,ROW(D18)-ROW(D$12),0))</f>
        <v>M2</v>
      </c>
      <c r="E18" s="165">
        <f ca="1">IF($A18&lt;&gt;"Serviço",0,ROUND(SUMIF($F$9:$P$9,"&lt;&gt;",$F18:$P18),15-13*PO!$X$3))</f>
        <v>60</v>
      </c>
      <c r="F18" s="398">
        <f ca="1">OFFSET(PO!$P$12,ROW($E18)-ROW(F$12),0)</f>
        <v>60</v>
      </c>
      <c r="G18" s="398"/>
      <c r="H18" s="398"/>
      <c r="I18" s="398"/>
      <c r="J18" s="398"/>
      <c r="K18" s="398"/>
      <c r="L18" s="398"/>
      <c r="M18" s="398"/>
      <c r="N18" s="398"/>
      <c r="O18" s="398"/>
      <c r="U18" s="215"/>
    </row>
    <row r="19" spans="1:21" s="4" customFormat="1" ht="52.8" x14ac:dyDescent="0.25">
      <c r="A19" s="128" t="str">
        <f ca="1">OFFSET(PO!J$12,ROW(A19)-ROW($A$12),0)</f>
        <v>Serviço</v>
      </c>
      <c r="B19" s="130" t="str">
        <f ca="1">IF($A19=0,"",OFFSET(PO!K$12,ROW(B19)-ROW(B$12),0))</f>
        <v>2.4.</v>
      </c>
      <c r="C19" s="127" t="str">
        <f ca="1">IF(OFFSET(PO!N$12,ROW(C19)-ROW(C$12),0)=0,"",OFFSET(PO!N$12,ROW(C19)-ROW(C$12),0))</f>
        <v>TUBO DE CONCRETO PARA REDES COLETORAS DE ESGOTO SANITÁRIO, DIÂMETRO DE 1000 MM, JUNTA ELÁSTICA, INSTALADO EM LOCAL COM ALTO NÍVEL DE INTERFERÊNCIAS - FORNECIMENTO E ASSENTAMENTO. AF_03/2024</v>
      </c>
      <c r="D19" s="129" t="str">
        <f ca="1">IF(OFFSET(PO!O$12,ROW(D19)-ROW(D$12),0)=0,"",OFFSET(PO!O$12,ROW(D19)-ROW(D$12),0))</f>
        <v>M</v>
      </c>
      <c r="E19" s="165">
        <f ca="1">IF($A19&lt;&gt;"Serviço",0,ROUND(SUMIF($F$9:$P$9,"&lt;&gt;",$F19:$P19),15-13*PO!$X$3))</f>
        <v>20</v>
      </c>
      <c r="F19" s="398">
        <f ca="1">OFFSET(PO!$P$12,ROW($E19)-ROW(F$12),0)</f>
        <v>20</v>
      </c>
      <c r="G19" s="398"/>
      <c r="H19" s="398"/>
      <c r="I19" s="398"/>
      <c r="J19" s="398"/>
      <c r="K19" s="398"/>
      <c r="L19" s="398"/>
      <c r="M19" s="398"/>
      <c r="N19" s="398"/>
      <c r="O19" s="398"/>
      <c r="U19" s="215"/>
    </row>
    <row r="20" spans="1:21" s="4" customFormat="1" ht="39.6" x14ac:dyDescent="0.25">
      <c r="A20" s="128" t="str">
        <f ca="1">OFFSET(PO!J$12,ROW(A20)-ROW($A$12),0)</f>
        <v>Serviço</v>
      </c>
      <c r="B20" s="130" t="str">
        <f ca="1">IF($A20=0,"",OFFSET(PO!K$12,ROW(B20)-ROW(B$12),0))</f>
        <v>2.5.</v>
      </c>
      <c r="C20" s="127" t="str">
        <f ca="1">IF(OFFSET(PO!N$12,ROW(C20)-ROW(C$12),0)=0,"",OFFSET(PO!N$12,ROW(C20)-ROW(C$12),0))</f>
        <v>EXECUÇÃO DE SARJETA DE CONCRETO USINADO, MOLDADA  IN LOCO  EM TRECHO CURVO, 60 CM BASE X 15 CM ALTURA. AF_01/2024</v>
      </c>
      <c r="D20" s="129" t="str">
        <f ca="1">IF(OFFSET(PO!O$12,ROW(D20)-ROW(D$12),0)=0,"",OFFSET(PO!O$12,ROW(D20)-ROW(D$12),0))</f>
        <v>M</v>
      </c>
      <c r="E20" s="165">
        <f ca="1">IF($A20&lt;&gt;"Serviço",0,ROUND(SUMIF($F$9:$P$9,"&lt;&gt;",$F20:$P20),15-13*PO!$X$3))</f>
        <v>40</v>
      </c>
      <c r="F20" s="398">
        <f ca="1">OFFSET(PO!$P$12,ROW($E20)-ROW(F$12),0)</f>
        <v>40</v>
      </c>
      <c r="G20" s="398"/>
      <c r="H20" s="398"/>
      <c r="I20" s="398"/>
      <c r="J20" s="398"/>
      <c r="K20" s="398"/>
      <c r="L20" s="398"/>
      <c r="M20" s="398"/>
      <c r="N20" s="398"/>
      <c r="O20" s="398"/>
      <c r="U20" s="215"/>
    </row>
    <row r="21" spans="1:21" s="4" customFormat="1" ht="26.4" x14ac:dyDescent="0.25">
      <c r="A21" s="128" t="str">
        <f ca="1">OFFSET(PO!J$12,ROW(A21)-ROW($A$12),0)</f>
        <v>Serviço</v>
      </c>
      <c r="B21" s="130" t="str">
        <f ca="1">IF($A21=0,"",OFFSET(PO!K$12,ROW(B21)-ROW(B$12),0))</f>
        <v>2.6.</v>
      </c>
      <c r="C21" s="127" t="str">
        <f ca="1">IF(OFFSET(PO!N$12,ROW(C21)-ROW(C$12),0)=0,"",OFFSET(PO!N$12,ROW(C21)-ROW(C$12),0))</f>
        <v>CAIXA DE LIGAÇÃO E PASSAGEM - CLP 06 - AREIA EXTRAÍDA E BRITA PRODUZIDA</v>
      </c>
      <c r="D21" s="129" t="str">
        <f ca="1">IF(OFFSET(PO!O$12,ROW(D21)-ROW(D$12),0)=0,"",OFFSET(PO!O$12,ROW(D21)-ROW(D$12),0))</f>
        <v>UN</v>
      </c>
      <c r="E21" s="165">
        <f ca="1">IF($A21&lt;&gt;"Serviço",0,ROUND(SUMIF($F$9:$P$9,"&lt;&gt;",$F21:$P21),15-13*PO!$X$3))</f>
        <v>2</v>
      </c>
      <c r="F21" s="398">
        <f ca="1">OFFSET(PO!$P$12,ROW($E21)-ROW(F$12),0)</f>
        <v>2</v>
      </c>
      <c r="G21" s="398"/>
      <c r="H21" s="398"/>
      <c r="I21" s="398"/>
      <c r="J21" s="398"/>
      <c r="K21" s="398"/>
      <c r="L21" s="398"/>
      <c r="M21" s="398"/>
      <c r="N21" s="398"/>
      <c r="O21" s="398"/>
      <c r="U21" s="215"/>
    </row>
    <row r="22" spans="1:21" s="4" customFormat="1" ht="39.6" x14ac:dyDescent="0.25">
      <c r="A22" s="128" t="str">
        <f ca="1">OFFSET(PO!J$12,ROW(A22)-ROW($A$12),0)</f>
        <v>Serviço</v>
      </c>
      <c r="B22" s="130" t="str">
        <f ca="1">IF($A22=0,"",OFFSET(PO!K$12,ROW(B22)-ROW(B$12),0))</f>
        <v>2.7.</v>
      </c>
      <c r="C22" s="127" t="str">
        <f ca="1">IF(OFFSET(PO!N$12,ROW(C22)-ROW(C$12),0)=0,"",OFFSET(PO!N$12,ROW(C22)-ROW(C$12),0))</f>
        <v>EXECUÇÃO E COMPACTAÇÃO DE ATERRO COM SOLO PREDOMINANTEMENTE ARGILOSO - EXCLUSIVE SOLO, ESCAVAÇÃO, CARGA E TRANSPORTE. AF_11/2019</v>
      </c>
      <c r="D22" s="129" t="str">
        <f ca="1">IF(OFFSET(PO!O$12,ROW(D22)-ROW(D$12),0)=0,"",OFFSET(PO!O$12,ROW(D22)-ROW(D$12),0))</f>
        <v>M3</v>
      </c>
      <c r="E22" s="165">
        <f ca="1">IF($A22&lt;&gt;"Serviço",0,ROUND(SUMIF($F$9:$P$9,"&lt;&gt;",$F22:$P22),15-13*PO!$X$3))</f>
        <v>126</v>
      </c>
      <c r="F22" s="398">
        <f ca="1">OFFSET(PO!$P$12,ROW($E22)-ROW(F$12),0)</f>
        <v>126</v>
      </c>
      <c r="G22" s="398"/>
      <c r="H22" s="398"/>
      <c r="I22" s="398"/>
      <c r="J22" s="398"/>
      <c r="K22" s="398"/>
      <c r="L22" s="398"/>
      <c r="M22" s="398"/>
      <c r="N22" s="398"/>
      <c r="O22" s="398"/>
      <c r="U22" s="215"/>
    </row>
    <row r="23" spans="1:21" s="4" customFormat="1" ht="26.4" x14ac:dyDescent="0.25">
      <c r="A23" s="128" t="str">
        <f ca="1">OFFSET(PO!J$12,ROW(A23)-ROW($A$12),0)</f>
        <v>Serviço</v>
      </c>
      <c r="B23" s="130" t="str">
        <f ca="1">IF($A23=0,"",OFFSET(PO!K$12,ROW(B23)-ROW(B$12),0))</f>
        <v>2.8.</v>
      </c>
      <c r="C23" s="127" t="str">
        <f ca="1">IF(OFFSET(PO!N$12,ROW(C23)-ROW(C$12),0)=0,"",OFFSET(PO!N$12,ROW(C23)-ROW(C$12),0))</f>
        <v>REGULARIZAÇÃO E COMPACTAÇÃO DE SUBLEITO DE SOLO  PREDOMINANTEMENTE ARGILOSO. AF_11/2019</v>
      </c>
      <c r="D23" s="129" t="str">
        <f ca="1">IF(OFFSET(PO!O$12,ROW(D23)-ROW(D$12),0)=0,"",OFFSET(PO!O$12,ROW(D23)-ROW(D$12),0))</f>
        <v>M2</v>
      </c>
      <c r="E23" s="165">
        <f ca="1">IF($A23&lt;&gt;"Serviço",0,ROUND(SUMIF($F$9:$P$9,"&lt;&gt;",$F23:$P23),15-13*PO!$X$3))</f>
        <v>350</v>
      </c>
      <c r="F23" s="398">
        <f ca="1">OFFSET(PO!$P$12,ROW($E23)-ROW(F$12),0)</f>
        <v>350</v>
      </c>
      <c r="G23" s="398"/>
      <c r="H23" s="398"/>
      <c r="I23" s="398"/>
      <c r="J23" s="398"/>
      <c r="K23" s="398"/>
      <c r="L23" s="398"/>
      <c r="M23" s="398"/>
      <c r="N23" s="398"/>
      <c r="O23" s="398"/>
      <c r="U23" s="215"/>
    </row>
    <row r="24" spans="1:21" s="4" customFormat="1" x14ac:dyDescent="0.25">
      <c r="A24" s="128" t="str">
        <f ca="1">OFFSET(PO!J$12,ROW(A24)-ROW($A$12),0)</f>
        <v>Meta</v>
      </c>
      <c r="B24" s="130" t="str">
        <f ca="1">IF($A24=0,"",OFFSET(PO!K$12,ROW(B24)-ROW(B$12),0))</f>
        <v>3.</v>
      </c>
      <c r="C24" s="127" t="str">
        <f ca="1">IF(OFFSET(PO!N$12,ROW(C24)-ROW(C$12),0)=0,"",OFFSET(PO!N$12,ROW(C24)-ROW(C$12),0))</f>
        <v>PAVIMENTAÇÃO</v>
      </c>
      <c r="D24" s="129" t="str">
        <f ca="1">IF(OFFSET(PO!O$12,ROW(D24)-ROW(D$12),0)=0,"",OFFSET(PO!O$12,ROW(D24)-ROW(D$12),0))</f>
        <v/>
      </c>
      <c r="E24" s="165">
        <f ca="1">IF($A24&lt;&gt;"Serviço",0,ROUND(SUMIF($F$9:$P$9,"&lt;&gt;",$F24:$P24),15-13*PO!$X$3))</f>
        <v>0</v>
      </c>
      <c r="F24" s="398">
        <f ca="1">OFFSET(PO!$P$12,ROW($E24)-ROW(F$12),0)</f>
        <v>0</v>
      </c>
      <c r="G24" s="398"/>
      <c r="H24" s="398"/>
      <c r="I24" s="398"/>
      <c r="J24" s="398"/>
      <c r="K24" s="398"/>
      <c r="L24" s="398"/>
      <c r="M24" s="398"/>
      <c r="N24" s="398"/>
      <c r="O24" s="398"/>
      <c r="U24" s="215"/>
    </row>
    <row r="25" spans="1:21" s="4" customFormat="1" ht="39.6" x14ac:dyDescent="0.25">
      <c r="A25" s="128" t="str">
        <f ca="1">OFFSET(PO!J$12,ROW(A25)-ROW($A$12),0)</f>
        <v>Serviço</v>
      </c>
      <c r="B25" s="130" t="str">
        <f ca="1">IF($A25=0,"",OFFSET(PO!K$12,ROW(B25)-ROW(B$12),0))</f>
        <v>3.1.</v>
      </c>
      <c r="C25" s="127" t="str">
        <f ca="1">IF(OFFSET(PO!N$12,ROW(C25)-ROW(C$12),0)=0,"",OFFSET(PO!N$12,ROW(C25)-ROW(C$12),0))</f>
        <v xml:space="preserve">GUIA (MEIO-FIO) EM CONCRETO/BASALTO, REJUNTADO COM ARGAMASSA, ESPESSURA=12cm, ALTURA=30cm, MATERIAL E MÃO DE OBRA </v>
      </c>
      <c r="D25" s="129" t="str">
        <f ca="1">IF(OFFSET(PO!O$12,ROW(D25)-ROW(D$12),0)=0,"",OFFSET(PO!O$12,ROW(D25)-ROW(D$12),0))</f>
        <v>M</v>
      </c>
      <c r="E25" s="165">
        <f ca="1">IF($A25&lt;&gt;"Serviço",0,ROUND(SUMIF($F$9:$P$9,"&lt;&gt;",$F25:$P25),15-13*PO!$X$3))</f>
        <v>40</v>
      </c>
      <c r="F25" s="398">
        <f ca="1">OFFSET(PO!$P$12,ROW($E25)-ROW(F$12),0)</f>
        <v>40</v>
      </c>
      <c r="G25" s="398"/>
      <c r="H25" s="398"/>
      <c r="I25" s="398"/>
      <c r="J25" s="398"/>
      <c r="K25" s="398"/>
      <c r="L25" s="398"/>
      <c r="M25" s="398"/>
      <c r="N25" s="398"/>
      <c r="O25" s="398"/>
      <c r="U25" s="215"/>
    </row>
    <row r="26" spans="1:21" s="4" customFormat="1" ht="26.4" x14ac:dyDescent="0.25">
      <c r="A26" s="128" t="str">
        <f ca="1">OFFSET(PO!J$12,ROW(A26)-ROW($A$12),0)</f>
        <v>Serviço</v>
      </c>
      <c r="B26" s="130" t="str">
        <f ca="1">IF($A26=0,"",OFFSET(PO!K$12,ROW(B26)-ROW(B$12),0))</f>
        <v>3.2.</v>
      </c>
      <c r="C26" s="127" t="str">
        <f ca="1">IF(OFFSET(PO!N$12,ROW(C26)-ROW(C$12),0)=0,"",OFFSET(PO!N$12,ROW(C26)-ROW(C$12),0))</f>
        <v>PAVIMENTO EM PARALELEPIPEDO SOBRE COLCHAO DE PÓ DE PEDRA h=10 cm (PEDRAS PEQUENAS 30 A 35 PECAS POR M2)</v>
      </c>
      <c r="D26" s="129" t="str">
        <f ca="1">IF(OFFSET(PO!O$12,ROW(D26)-ROW(D$12),0)=0,"",OFFSET(PO!O$12,ROW(D26)-ROW(D$12),0))</f>
        <v>M2</v>
      </c>
      <c r="E26" s="165">
        <f ca="1">IF($A26&lt;&gt;"Serviço",0,ROUND(SUMIF($F$9:$P$9,"&lt;&gt;",$F26:$P26),15-13*PO!$X$3))</f>
        <v>350</v>
      </c>
      <c r="F26" s="398">
        <f ca="1">OFFSET(PO!$P$12,ROW($E26)-ROW(F$12),0)</f>
        <v>350</v>
      </c>
      <c r="G26" s="398"/>
      <c r="H26" s="398"/>
      <c r="I26" s="398"/>
      <c r="J26" s="398"/>
      <c r="K26" s="398"/>
      <c r="L26" s="398"/>
      <c r="M26" s="398"/>
      <c r="N26" s="398"/>
      <c r="O26" s="398"/>
      <c r="U26" s="215"/>
    </row>
    <row r="27" spans="1:21" s="4" customFormat="1" x14ac:dyDescent="0.25">
      <c r="A27" s="83"/>
      <c r="B27" s="83"/>
      <c r="C27" s="83"/>
      <c r="D27" s="83"/>
      <c r="E27" s="83"/>
      <c r="F27" s="83"/>
      <c r="G27" s="83"/>
      <c r="H27" s="83"/>
      <c r="I27" s="83"/>
      <c r="J27" s="83"/>
      <c r="K27" s="83"/>
      <c r="L27" s="83"/>
      <c r="M27" s="83"/>
      <c r="N27" s="83"/>
      <c r="O27" s="83"/>
      <c r="U27" s="83"/>
    </row>
    <row r="28" spans="1:21" s="4" customFormat="1" x14ac:dyDescent="0.25">
      <c r="B28" s="9"/>
      <c r="C28" s="14"/>
      <c r="D28" s="9"/>
      <c r="E28" s="16"/>
      <c r="F28" s="16"/>
      <c r="G28" s="16"/>
      <c r="H28" s="16"/>
      <c r="I28" s="16"/>
      <c r="J28" s="16"/>
      <c r="K28" s="16"/>
      <c r="L28" s="16"/>
      <c r="M28" s="16"/>
      <c r="N28" s="16"/>
      <c r="O28" s="16"/>
      <c r="U28" s="16"/>
    </row>
    <row r="29" spans="1:21" s="4" customFormat="1" x14ac:dyDescent="0.25">
      <c r="B29" s="370" t="str">
        <f>PO!$K$38</f>
        <v>BENTO GONÇALVES/RS</v>
      </c>
      <c r="C29" s="370"/>
      <c r="D29" s="9"/>
      <c r="E29" s="16"/>
      <c r="F29" s="16"/>
      <c r="G29" s="16"/>
      <c r="H29" s="16"/>
      <c r="I29" s="16"/>
      <c r="J29" s="16"/>
      <c r="K29" s="16"/>
      <c r="L29" s="16"/>
      <c r="M29" s="16"/>
      <c r="N29" s="16"/>
      <c r="O29" s="16"/>
      <c r="U29" s="16"/>
    </row>
    <row r="30" spans="1:21" s="4" customFormat="1" x14ac:dyDescent="0.25">
      <c r="B30" s="113" t="s">
        <v>120</v>
      </c>
      <c r="C30" s="14"/>
      <c r="D30" s="9"/>
      <c r="E30" s="16"/>
      <c r="F30" s="16"/>
      <c r="G30" s="16"/>
      <c r="H30" s="16"/>
      <c r="I30" s="16"/>
      <c r="J30" s="16"/>
      <c r="K30" s="16"/>
      <c r="L30" s="16"/>
      <c r="M30" s="16"/>
      <c r="N30" s="16"/>
      <c r="O30" s="16"/>
      <c r="U30" s="16"/>
    </row>
    <row r="31" spans="1:21" s="4" customFormat="1" x14ac:dyDescent="0.25">
      <c r="B31" s="14"/>
      <c r="C31" s="14"/>
      <c r="D31" s="9"/>
      <c r="E31" s="16"/>
      <c r="F31" s="16"/>
      <c r="G31" s="16"/>
      <c r="H31" s="16"/>
      <c r="I31" s="16"/>
      <c r="J31" s="16"/>
      <c r="K31" s="16"/>
      <c r="L31" s="16"/>
      <c r="M31" s="16"/>
      <c r="N31" s="16"/>
      <c r="O31" s="16"/>
      <c r="U31" s="16"/>
    </row>
    <row r="32" spans="1:21" s="4" customFormat="1" x14ac:dyDescent="0.25">
      <c r="B32" s="371">
        <f ca="1">PO!$K$41</f>
        <v>45684</v>
      </c>
      <c r="C32" s="371"/>
      <c r="D32" s="9"/>
      <c r="E32" s="16"/>
      <c r="F32" s="16"/>
      <c r="G32" s="16"/>
      <c r="H32" s="16"/>
      <c r="I32" s="16"/>
      <c r="J32" s="16"/>
      <c r="K32" s="16"/>
      <c r="L32" s="16"/>
      <c r="M32" s="16"/>
      <c r="N32" s="16"/>
      <c r="O32" s="16"/>
      <c r="U32" s="16"/>
    </row>
    <row r="33" spans="2:21" s="4" customFormat="1" x14ac:dyDescent="0.25">
      <c r="B33" s="142" t="s">
        <v>121</v>
      </c>
      <c r="C33" s="143"/>
      <c r="D33" s="9"/>
      <c r="E33" s="16"/>
      <c r="F33" s="16"/>
      <c r="G33" s="16"/>
      <c r="H33" s="16"/>
      <c r="I33" s="16"/>
      <c r="J33" s="16"/>
      <c r="K33" s="16"/>
      <c r="L33" s="16"/>
      <c r="M33" s="16"/>
      <c r="N33" s="16"/>
      <c r="O33" s="16"/>
      <c r="U33" s="16"/>
    </row>
  </sheetData>
  <sheetProtection password="C95B" sheet="1" objects="1" scenarios="1"/>
  <mergeCells count="2">
    <mergeCell ref="B29:C29"/>
    <mergeCell ref="B32:C32"/>
  </mergeCells>
  <phoneticPr fontId="25" type="noConversion"/>
  <conditionalFormatting sqref="D11:E11 D26:E26 D13:E16 D24:E24">
    <cfRule type="expression" dxfId="133" priority="1639" stopIfTrue="1">
      <formula>$A11="Meta"</formula>
    </cfRule>
    <cfRule type="expression" dxfId="132" priority="1640" stopIfTrue="1">
      <formula>$A11&lt;&gt;"Serviço"</formula>
    </cfRule>
  </conditionalFormatting>
  <conditionalFormatting sqref="C11 C26 C13:C16 C24">
    <cfRule type="expression" dxfId="131" priority="1641" stopIfTrue="1">
      <formula>$A11="Meta"</formula>
    </cfRule>
    <cfRule type="expression" dxfId="130" priority="1642" stopIfTrue="1">
      <formula>$A11&lt;&gt;"Serviço"</formula>
    </cfRule>
  </conditionalFormatting>
  <conditionalFormatting sqref="A11:B11 A26:B26 A13:B16 A24:B24">
    <cfRule type="expression" dxfId="129" priority="1643" stopIfTrue="1">
      <formula>$A11="Meta"</formula>
    </cfRule>
    <cfRule type="expression" dxfId="128" priority="1644" stopIfTrue="1">
      <formula>LEFT($A11,5)="Nível"</formula>
    </cfRule>
    <cfRule type="expression" dxfId="127" priority="1645" stopIfTrue="1">
      <formula>$A11=0</formula>
    </cfRule>
  </conditionalFormatting>
  <conditionalFormatting sqref="U11 U13:U16 F13:O16 F24:O26 U24:U26">
    <cfRule type="expression" dxfId="126" priority="1655" stopIfTrue="1">
      <formula>$A11="Meta"</formula>
    </cfRule>
    <cfRule type="expression" dxfId="125" priority="1656" stopIfTrue="1">
      <formula>OR(F$9=0,$A11&lt;&gt;"Serviço")</formula>
    </cfRule>
    <cfRule type="expression" dxfId="124" priority="1657" stopIfTrue="1">
      <formula>TipoOrçamento="Licitado"</formula>
    </cfRule>
  </conditionalFormatting>
  <conditionalFormatting sqref="U9">
    <cfRule type="expression" dxfId="123" priority="1077" stopIfTrue="1">
      <formula>AND(T9=0,U9=0)</formula>
    </cfRule>
    <cfRule type="expression" dxfId="122" priority="1078" stopIfTrue="1">
      <formula>TipoOrçamento="Licitado"</formula>
    </cfRule>
  </conditionalFormatting>
  <conditionalFormatting sqref="F11:O11">
    <cfRule type="expression" dxfId="121" priority="1037" stopIfTrue="1">
      <formula>$A11="Meta"</formula>
    </cfRule>
    <cfRule type="expression" dxfId="120" priority="1038" stopIfTrue="1">
      <formula>OR(F$9=0,$A11&lt;&gt;"Serviço")</formula>
    </cfRule>
    <cfRule type="expression" dxfId="119" priority="1039" stopIfTrue="1">
      <formula>TipoOrçamento="Licitado"</formula>
    </cfRule>
  </conditionalFormatting>
  <conditionalFormatting sqref="F9:O9">
    <cfRule type="expression" dxfId="118" priority="1035" stopIfTrue="1">
      <formula>AND(E9=0,F9=0)</formula>
    </cfRule>
    <cfRule type="expression" dxfId="117" priority="1036" stopIfTrue="1">
      <formula>TipoOrçamento="Licitado"</formula>
    </cfRule>
  </conditionalFormatting>
  <conditionalFormatting sqref="D25:E25">
    <cfRule type="expression" dxfId="116" priority="121" stopIfTrue="1">
      <formula>$A25="Meta"</formula>
    </cfRule>
    <cfRule type="expression" dxfId="115" priority="122" stopIfTrue="1">
      <formula>$A25&lt;&gt;"Serviço"</formula>
    </cfRule>
  </conditionalFormatting>
  <conditionalFormatting sqref="C25">
    <cfRule type="expression" dxfId="114" priority="123" stopIfTrue="1">
      <formula>$A25="Meta"</formula>
    </cfRule>
    <cfRule type="expression" dxfId="113" priority="124" stopIfTrue="1">
      <formula>$A25&lt;&gt;"Serviço"</formula>
    </cfRule>
  </conditionalFormatting>
  <conditionalFormatting sqref="A25:B25">
    <cfRule type="expression" dxfId="112" priority="125" stopIfTrue="1">
      <formula>$A25="Meta"</formula>
    </cfRule>
    <cfRule type="expression" dxfId="111" priority="126" stopIfTrue="1">
      <formula>LEFT($A25,5)="Nível"</formula>
    </cfRule>
    <cfRule type="expression" dxfId="110" priority="127" stopIfTrue="1">
      <formula>$A25=0</formula>
    </cfRule>
  </conditionalFormatting>
  <conditionalFormatting sqref="D17:E20 D22:E23">
    <cfRule type="expression" dxfId="109" priority="30" stopIfTrue="1">
      <formula>$A17="Meta"</formula>
    </cfRule>
    <cfRule type="expression" dxfId="108" priority="31" stopIfTrue="1">
      <formula>$A17&lt;&gt;"Serviço"</formula>
    </cfRule>
  </conditionalFormatting>
  <conditionalFormatting sqref="C17:C20 C22:C23">
    <cfRule type="expression" dxfId="107" priority="32" stopIfTrue="1">
      <formula>$A17="Meta"</formula>
    </cfRule>
    <cfRule type="expression" dxfId="106" priority="33" stopIfTrue="1">
      <formula>$A17&lt;&gt;"Serviço"</formula>
    </cfRule>
  </conditionalFormatting>
  <conditionalFormatting sqref="A17:B20 A22:B23">
    <cfRule type="expression" dxfId="105" priority="34" stopIfTrue="1">
      <formula>$A17="Meta"</formula>
    </cfRule>
    <cfRule type="expression" dxfId="104" priority="35" stopIfTrue="1">
      <formula>LEFT($A17,5)="Nível"</formula>
    </cfRule>
    <cfRule type="expression" dxfId="103" priority="36" stopIfTrue="1">
      <formula>$A17=0</formula>
    </cfRule>
  </conditionalFormatting>
  <conditionalFormatting sqref="U17:U20 U22:U23">
    <cfRule type="expression" dxfId="102" priority="37" stopIfTrue="1">
      <formula>$A17="Meta"</formula>
    </cfRule>
    <cfRule type="expression" dxfId="101" priority="38" stopIfTrue="1">
      <formula>OR(U$9=0,$A17&lt;&gt;"Serviço")</formula>
    </cfRule>
    <cfRule type="expression" dxfId="100" priority="39" stopIfTrue="1">
      <formula>TipoOrçamento="Licitado"</formula>
    </cfRule>
  </conditionalFormatting>
  <conditionalFormatting sqref="F17:O20 F22:O23">
    <cfRule type="expression" dxfId="99" priority="27" stopIfTrue="1">
      <formula>$A17="Meta"</formula>
    </cfRule>
    <cfRule type="expression" dxfId="98" priority="28" stopIfTrue="1">
      <formula>OR(F$9=0,$A17&lt;&gt;"Serviço")</formula>
    </cfRule>
    <cfRule type="expression" dxfId="97" priority="29" stopIfTrue="1">
      <formula>TipoOrçamento="Licitado"</formula>
    </cfRule>
  </conditionalFormatting>
  <conditionalFormatting sqref="D21:E21">
    <cfRule type="expression" dxfId="96" priority="17" stopIfTrue="1">
      <formula>$A21="Meta"</formula>
    </cfRule>
    <cfRule type="expression" dxfId="95" priority="18" stopIfTrue="1">
      <formula>$A21&lt;&gt;"Serviço"</formula>
    </cfRule>
  </conditionalFormatting>
  <conditionalFormatting sqref="C21">
    <cfRule type="expression" dxfId="94" priority="19" stopIfTrue="1">
      <formula>$A21="Meta"</formula>
    </cfRule>
    <cfRule type="expression" dxfId="93" priority="20" stopIfTrue="1">
      <formula>$A21&lt;&gt;"Serviço"</formula>
    </cfRule>
  </conditionalFormatting>
  <conditionalFormatting sqref="A21:B21">
    <cfRule type="expression" dxfId="92" priority="21" stopIfTrue="1">
      <formula>$A21="Meta"</formula>
    </cfRule>
    <cfRule type="expression" dxfId="91" priority="22" stopIfTrue="1">
      <formula>LEFT($A21,5)="Nível"</formula>
    </cfRule>
    <cfRule type="expression" dxfId="90" priority="23" stopIfTrue="1">
      <formula>$A21=0</formula>
    </cfRule>
  </conditionalFormatting>
  <conditionalFormatting sqref="U21">
    <cfRule type="expression" dxfId="89" priority="24" stopIfTrue="1">
      <formula>$A21="Meta"</formula>
    </cfRule>
    <cfRule type="expression" dxfId="88" priority="25" stopIfTrue="1">
      <formula>OR(U$9=0,$A21&lt;&gt;"Serviço")</formula>
    </cfRule>
    <cfRule type="expression" dxfId="87" priority="26" stopIfTrue="1">
      <formula>TipoOrçamento="Licitado"</formula>
    </cfRule>
  </conditionalFormatting>
  <conditionalFormatting sqref="F21:O21">
    <cfRule type="expression" dxfId="86" priority="14" stopIfTrue="1">
      <formula>$A21="Meta"</formula>
    </cfRule>
    <cfRule type="expression" dxfId="85" priority="15" stopIfTrue="1">
      <formula>OR(F$9=0,$A21&lt;&gt;"Serviço")</formula>
    </cfRule>
    <cfRule type="expression" dxfId="84" priority="16"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26 U14:U26">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32 B29"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37"/>
  <sheetViews>
    <sheetView showGridLines="0" view="pageBreakPreview" topLeftCell="L1" zoomScale="70" zoomScaleNormal="100" zoomScaleSheetLayoutView="70" workbookViewId="0"/>
  </sheetViews>
  <sheetFormatPr defaultColWidth="9.109375" defaultRowHeight="13.2" x14ac:dyDescent="0.25"/>
  <cols>
    <col min="1" max="4" width="9.109375" style="42" hidden="1" customWidth="1"/>
    <col min="5" max="8" width="5.6640625" style="42" hidden="1" customWidth="1"/>
    <col min="9" max="10" width="6.6640625" style="42" hidden="1" customWidth="1"/>
    <col min="11" max="11" width="10.6640625" style="42" hidden="1" customWidth="1"/>
    <col min="12" max="12" width="10.6640625" style="42" customWidth="1"/>
    <col min="13" max="13" width="40.5546875" style="42" customWidth="1"/>
    <col min="14" max="14" width="16.44140625" style="47" customWidth="1"/>
    <col min="15" max="15" width="16.5546875" style="42" bestFit="1" customWidth="1"/>
    <col min="16" max="23" width="15.6640625" style="42" customWidth="1"/>
    <col min="24" max="24" width="0.88671875" style="46" customWidth="1"/>
    <col min="25" max="28" width="9.109375" style="42"/>
    <col min="29" max="29" width="15.6640625" style="42" hidden="1" customWidth="1"/>
    <col min="30" max="16384" width="9.109375" style="42"/>
  </cols>
  <sheetData>
    <row r="1" spans="1:29" s="41" customFormat="1" ht="12.9" customHeight="1" x14ac:dyDescent="0.25">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x14ac:dyDescent="0.25">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5">
      <c r="A3" s="1"/>
      <c r="B3" s="1"/>
      <c r="C3" s="1"/>
      <c r="D3" s="1"/>
      <c r="E3" s="1"/>
      <c r="F3" s="1"/>
      <c r="G3" s="1"/>
      <c r="H3" s="1"/>
      <c r="I3" s="1"/>
      <c r="J3" s="1"/>
      <c r="K3" s="1"/>
      <c r="L3" s="1"/>
      <c r="M3" s="1"/>
      <c r="N3" s="1"/>
      <c r="O3" s="1"/>
      <c r="P3" s="1"/>
      <c r="Q3" s="1"/>
      <c r="R3" s="1"/>
      <c r="S3" s="82"/>
      <c r="T3" s="1"/>
      <c r="U3" s="1"/>
      <c r="V3" s="1"/>
      <c r="W3" s="1"/>
      <c r="X3" s="1"/>
      <c r="AC3" s="1"/>
    </row>
    <row r="4" spans="1:29" s="41" customFormat="1" ht="24.9" customHeight="1" x14ac:dyDescent="0.25">
      <c r="A4" s="1"/>
      <c r="B4" s="1"/>
      <c r="C4" s="1"/>
      <c r="D4" s="1"/>
      <c r="E4" s="1"/>
      <c r="F4" s="1"/>
      <c r="G4" s="1"/>
      <c r="H4" s="1"/>
      <c r="I4" s="1"/>
      <c r="J4" s="1"/>
      <c r="K4" s="1"/>
      <c r="L4" s="1"/>
      <c r="M4" s="1"/>
      <c r="N4" s="1"/>
      <c r="O4" s="1"/>
      <c r="P4" s="1"/>
      <c r="Q4" s="1"/>
      <c r="R4" s="1"/>
      <c r="S4" s="1"/>
      <c r="T4" s="1"/>
      <c r="U4" s="1"/>
      <c r="V4" s="1"/>
      <c r="W4" s="1"/>
      <c r="X4" s="1"/>
      <c r="AC4" s="1"/>
    </row>
    <row r="5" spans="1:29" s="41" customFormat="1" ht="24.9" customHeight="1" x14ac:dyDescent="0.25">
      <c r="A5" s="1"/>
      <c r="B5" s="1"/>
      <c r="C5" s="1"/>
      <c r="D5" s="1"/>
      <c r="E5" s="1"/>
      <c r="F5" s="1"/>
      <c r="G5" s="1"/>
      <c r="H5" s="1"/>
      <c r="I5" s="1"/>
      <c r="J5" s="1"/>
      <c r="K5" s="1"/>
      <c r="L5" s="1"/>
      <c r="M5" s="1"/>
      <c r="N5" s="1"/>
      <c r="O5" s="1"/>
      <c r="P5" s="1"/>
      <c r="Q5" s="1"/>
      <c r="R5" s="1"/>
      <c r="S5" s="1"/>
      <c r="T5" s="1"/>
      <c r="U5" s="1"/>
      <c r="V5" s="1"/>
      <c r="W5" s="1"/>
      <c r="X5" s="1"/>
      <c r="AC5" s="1"/>
    </row>
    <row r="6" spans="1:29" s="41" customFormat="1" ht="24.9" customHeight="1" x14ac:dyDescent="0.25">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5">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5">
      <c r="A8" s="177" t="s">
        <v>176</v>
      </c>
      <c r="B8" s="1"/>
      <c r="C8" s="1"/>
      <c r="D8" s="1"/>
      <c r="E8" s="1"/>
      <c r="F8" s="1"/>
      <c r="G8" s="1"/>
      <c r="H8" s="1"/>
      <c r="I8" s="1"/>
      <c r="J8" s="1"/>
      <c r="K8" s="1"/>
      <c r="L8" s="386" t="str">
        <f ca="1">IF(MAX($A$14:$A$28)&lt;&gt;MAX(PO!$V$12:$V$27),"ERRO: CRONOGRAMA DESATUALIZADO",IF(OR(COUNTIF($O$16:$X$16,"&gt;1")&gt;0,OFFSET($X$17,0,-1)&lt;&gt;$N$14),"ERRO: CRONOGRAMA NÃO FECHA EM 100%",""))</f>
        <v>ERRO: CRONOGRAMA NÃO FECHA EM 100%</v>
      </c>
      <c r="M8" s="386"/>
      <c r="N8" s="160" t="str">
        <f>IF(TipoOrçamento="REPROGRAMADOAC","Qtde de Medições realizadas","")</f>
        <v/>
      </c>
      <c r="O8" s="178"/>
      <c r="P8" s="179"/>
      <c r="Q8" s="1"/>
      <c r="R8" s="1"/>
      <c r="S8" s="1"/>
      <c r="T8" s="1"/>
      <c r="U8" s="1"/>
      <c r="V8" s="1"/>
      <c r="W8" s="1"/>
      <c r="X8" s="1"/>
      <c r="AC8" s="1"/>
    </row>
    <row r="9" spans="1:29" s="41" customFormat="1" ht="14.1" customHeight="1" x14ac:dyDescent="0.25">
      <c r="A9" s="166">
        <v>2</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5">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01/02/25</v>
      </c>
      <c r="P10" s="219" t="str">
        <f ca="1">IF(AND(TipoOrçamento="REPROGRAMADOAC",$N$9&gt;0,N10="Valores Totais (R$)"),"Parcela "&amp;$N$9&amp;" Executado","Parcela "&amp;P$9&amp;CHAR(10)&amp;TEXT(DATE(YEAR(DADOS!$A$48),MONTH(DADOS!$A$48)+P$9-IF(AND(TipoOrçamento="REPROGRAMADOAC",$N$9&gt;0),$N$9,0),1),"mmm/aa"))</f>
        <v>Parcela 1
mar/25</v>
      </c>
      <c r="Q10" s="210" t="str">
        <f ca="1">IF(AND(TipoOrçamento="REPROGRAMADOAC",$N$9&gt;0,O10="Valores Totais (R$)"),"Parcela "&amp;$N$9&amp;" Executado","Parcela "&amp;Q$9&amp;CHAR(10)&amp;TEXT(DATE(YEAR(DADOS!$A$48),MONTH(DADOS!$A$48)+Q$9-IF(AND(TipoOrçamento="REPROGRAMADOAC",$N$9&gt;0),$N$9,0),1),"mmm/aa"))</f>
        <v>Parcela 2
abr/25</v>
      </c>
      <c r="R10" s="210" t="str">
        <f ca="1">IF(AND(TipoOrçamento="REPROGRAMADOAC",$N$9&gt;0,P10="Valores Totais (R$)"),"Parcela "&amp;$N$9&amp;" Executado","Parcela "&amp;R$9&amp;CHAR(10)&amp;TEXT(DATE(YEAR(DADOS!$A$48),MONTH(DADOS!$A$48)+R$9-IF(AND(TipoOrçamento="REPROGRAMADOAC",$N$9&gt;0),$N$9,0),1),"mmm/aa"))</f>
        <v>Parcela 3
mai/25</v>
      </c>
      <c r="S10" s="210" t="str">
        <f ca="1">IF(AND(TipoOrçamento="REPROGRAMADOAC",$N$9&gt;0,Q10="Valores Totais (R$)"),"Parcela "&amp;$N$9&amp;" Executado","Parcela "&amp;S$9&amp;CHAR(10)&amp;TEXT(DATE(YEAR(DADOS!$A$48),MONTH(DADOS!$A$48)+S$9-IF(AND(TipoOrçamento="REPROGRAMADOAC",$N$9&gt;0),$N$9,0),1),"mmm/aa"))</f>
        <v>Parcela 4
jun/25</v>
      </c>
      <c r="T10" s="210" t="str">
        <f ca="1">IF(AND(TipoOrçamento="REPROGRAMADOAC",$N$9&gt;0,R10="Valores Totais (R$)"),"Parcela "&amp;$N$9&amp;" Executado","Parcela "&amp;T$9&amp;CHAR(10)&amp;TEXT(DATE(YEAR(DADOS!$A$48),MONTH(DADOS!$A$48)+T$9-IF(AND(TipoOrçamento="REPROGRAMADOAC",$N$9&gt;0),$N$9,0),1),"mmm/aa"))</f>
        <v>Parcela 5
jul/25</v>
      </c>
      <c r="U10" s="210" t="str">
        <f ca="1">IF(AND(TipoOrçamento="REPROGRAMADOAC",$N$9&gt;0,S10="Valores Totais (R$)"),"Parcela "&amp;$N$9&amp;" Executado","Parcela "&amp;U$9&amp;CHAR(10)&amp;TEXT(DATE(YEAR(DADOS!$A$48),MONTH(DADOS!$A$48)+U$9-IF(AND(TipoOrçamento="REPROGRAMADOAC",$N$9&gt;0),$N$9,0),1),"mmm/aa"))</f>
        <v>Parcela 6
ago/25</v>
      </c>
      <c r="V10" s="210" t="str">
        <f ca="1">IF(AND(TipoOrçamento="REPROGRAMADOAC",$N$9&gt;0,T10="Valores Totais (R$)"),"Parcela "&amp;$N$9&amp;" Executado","Parcela "&amp;V$9&amp;CHAR(10)&amp;TEXT(DATE(YEAR(DADOS!$A$48),MONTH(DADOS!$A$48)+V$9-IF(AND(TipoOrçamento="REPROGRAMADOAC",$N$9&gt;0),$N$9,0),1),"mmm/aa"))</f>
        <v>Parcela 7
set/25</v>
      </c>
      <c r="W10" s="222" t="str">
        <f ca="1">IF(AND(TipoOrçamento="REPROGRAMADOAC",$N$9&gt;0,U10="Valores Totais (R$)"),"Parcela "&amp;$N$9&amp;" Executado","Parcela "&amp;W$9&amp;CHAR(10)&amp;TEXT(DATE(YEAR(DADOS!$A$48),MONTH(DADOS!$A$48)+W$9-IF(AND(TipoOrçamento="REPROGRAMADOAC",$N$9&gt;0),$N$9,0),1),"mmm/aa"))</f>
        <v>Parcela 8
out/25</v>
      </c>
      <c r="X10" s="195"/>
      <c r="AC10" s="210" t="str">
        <f ca="1">IF(AND(TipoOrçamento="REPROGRAMADOAC",$N$9&gt;0,AA10="Valores Totais (R$)"),"Parcela "&amp;$N$9&amp;" Executado","Parcela "&amp;AC$9&amp;CHAR(10)&amp;TEXT(DATE(YEAR(DADOS!$A$48),MONTH(DADOS!$A$48)+AC$9-IF(AND(TipoOrçamento="REPROGRAMADOAC",$N$9&gt;0),$N$9,0),1),"mmm/aa"))</f>
        <v>Parcela 1
mar/25</v>
      </c>
    </row>
    <row r="11" spans="1:29" customFormat="1" ht="14.25" hidden="1" customHeight="1" x14ac:dyDescent="0.25">
      <c r="A11" s="82"/>
      <c r="B11" s="82"/>
      <c r="C11" s="82"/>
      <c r="D11" s="82"/>
      <c r="E11" s="82"/>
      <c r="F11" s="82"/>
      <c r="G11" s="82"/>
      <c r="H11" s="82"/>
      <c r="I11" s="82"/>
      <c r="J11" s="82"/>
      <c r="K11" s="82"/>
      <c r="L11" s="373" t="e">
        <f ca="1">INDEX(PO!K$12:K$27,MATCH($A13,PO!$V$12:$V$27,0))</f>
        <v>#VALUE!</v>
      </c>
      <c r="M11" s="375" t="e">
        <f ca="1">INDEX(PO!N$12:N$27,MATCH($A13,PO!$V$12:$V$27,0))</f>
        <v>#VALUE!</v>
      </c>
      <c r="N11" s="387" t="e">
        <f ca="1">IF(ROUND(K13,2)=0,K13,ROUND(K13,2))</f>
        <v>#VALUE!</v>
      </c>
      <c r="O11" s="220"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3.8" hidden="1" x14ac:dyDescent="0.25">
      <c r="A12" s="184"/>
      <c r="B12" s="184"/>
      <c r="C12" s="184"/>
      <c r="D12" s="184"/>
      <c r="E12" s="184"/>
      <c r="F12" s="184"/>
      <c r="G12" s="184"/>
      <c r="H12" s="184"/>
      <c r="I12" s="184"/>
      <c r="J12" s="184"/>
      <c r="K12" s="184"/>
      <c r="L12" s="374"/>
      <c r="M12" s="376"/>
      <c r="N12" s="388"/>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3.8" hidden="1" x14ac:dyDescent="0.25">
      <c r="A13" s="184" t="e">
        <f ca="1">OFFSET(A13,-CFF.NumLinha,0)+1</f>
        <v>#VALUE!</v>
      </c>
      <c r="B13" s="184" t="e">
        <f ca="1">$C13&gt;=OFFSET($C13,CFF.NumLinha,0)</f>
        <v>#VALUE!</v>
      </c>
      <c r="C13" s="184" t="e">
        <f ca="1">INDEX(PO!A$12:A$27,MATCH($A13,PO!$V$12:$V$27,0))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MATCH(0,OFFSET($D13,1,$C13,ROW($A$27)-ROW($A13)),0)</f>
        <v>#VALUE!</v>
      </c>
      <c r="J13" s="184" t="e">
        <f ca="1">MATCH(OFFSET($D13,0,$C13)+1,OFFSET($D13,1,$C13,ROW($A$27)-ROW($A13)),0)</f>
        <v>#VALUE!</v>
      </c>
      <c r="K13" s="185" t="e">
        <f ca="1">ROUND(INDEX(PO!T$12:T$27,MATCH($A13,PO!$V$12:$V$27,0)),2)+10^-12</f>
        <v>#VALUE!</v>
      </c>
      <c r="L13" s="374"/>
      <c r="M13" s="376"/>
      <c r="N13" s="388"/>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5">
      <c r="A14" s="1"/>
      <c r="B14" s="1"/>
      <c r="C14" s="1"/>
      <c r="D14" s="1"/>
      <c r="E14" s="1"/>
      <c r="F14" s="1"/>
      <c r="G14" s="1"/>
      <c r="H14" s="1"/>
      <c r="I14" s="1"/>
      <c r="J14" s="1"/>
      <c r="K14" s="1"/>
      <c r="L14" s="377" t="s">
        <v>19</v>
      </c>
      <c r="M14" s="378"/>
      <c r="N14" s="383">
        <f ca="1">IF(PO!$T$12=0,10^-12,PO!$T$12)</f>
        <v>9.9999999999999998E-13</v>
      </c>
      <c r="O14" s="167" t="s">
        <v>143</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5">
      <c r="A15" s="1"/>
      <c r="B15" s="1"/>
      <c r="C15" s="1"/>
      <c r="D15" s="1"/>
      <c r="E15" s="1"/>
      <c r="F15" s="1"/>
      <c r="G15" s="1"/>
      <c r="H15" s="1"/>
      <c r="I15" s="1"/>
      <c r="J15" s="1"/>
      <c r="K15" s="1"/>
      <c r="L15" s="379"/>
      <c r="M15" s="380"/>
      <c r="N15" s="384"/>
      <c r="O15" s="156" t="s">
        <v>144</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5">
      <c r="A16" s="1"/>
      <c r="B16" s="1"/>
      <c r="C16" s="1"/>
      <c r="D16" s="1"/>
      <c r="E16" s="1"/>
      <c r="F16" s="1"/>
      <c r="G16" s="1"/>
      <c r="H16" s="1"/>
      <c r="I16" s="1"/>
      <c r="J16" s="1"/>
      <c r="K16" s="1"/>
      <c r="L16" s="379"/>
      <c r="M16" s="380"/>
      <c r="N16" s="384"/>
      <c r="O16" s="157" t="s">
        <v>145</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5">
      <c r="A17" s="114">
        <v>0</v>
      </c>
      <c r="B17" s="1"/>
      <c r="C17" s="1"/>
      <c r="D17" s="114">
        <f>ROW(D$27)-ROW(D18)</f>
        <v>9</v>
      </c>
      <c r="E17" s="1"/>
      <c r="F17" s="1"/>
      <c r="G17" s="1"/>
      <c r="H17" s="1"/>
      <c r="I17" s="1"/>
      <c r="J17" s="1"/>
      <c r="K17" s="1"/>
      <c r="L17" s="381"/>
      <c r="M17" s="382"/>
      <c r="N17" s="385"/>
      <c r="O17" s="158" t="s">
        <v>20</v>
      </c>
      <c r="P17" s="202">
        <f ca="1">SUMIF(OFFSET($C17,1,0):$C$27,1,OFFSET(P17,1,0):P$27)</f>
        <v>0</v>
      </c>
      <c r="Q17" s="152">
        <f ca="1">SUMIF(OFFSET($C17,1,0):$C$27,1,OFFSET(Q17,1,0):Q$27)</f>
        <v>0</v>
      </c>
      <c r="R17" s="152">
        <f ca="1">SUMIF(OFFSET($C17,1,0):$C$27,1,OFFSET(R17,1,0):R$27)</f>
        <v>0</v>
      </c>
      <c r="S17" s="152">
        <f ca="1">SUMIF(OFFSET($C17,1,0):$C$27,1,OFFSET(S17,1,0):S$27)</f>
        <v>0</v>
      </c>
      <c r="T17" s="152">
        <f ca="1">SUMIF(OFFSET($C17,1,0):$C$27,1,OFFSET(T17,1,0):T$27)</f>
        <v>0</v>
      </c>
      <c r="U17" s="152">
        <f ca="1">SUMIF(OFFSET($C17,1,0):$C$27,1,OFFSET(U17,1,0):U$27)</f>
        <v>0</v>
      </c>
      <c r="V17" s="152">
        <f ca="1">SUMIF(OFFSET($C17,1,0):$C$27,1,OFFSET(V17,1,0):V$27)</f>
        <v>0</v>
      </c>
      <c r="W17" s="152">
        <f ca="1">SUMIF(OFFSET($C17,1,0):$C$27,1,OFFSET(W17,1,0):W$27)</f>
        <v>0</v>
      </c>
      <c r="X17" s="171"/>
      <c r="AC17" s="152">
        <f ca="1">SUMIF(OFFSET($C17,1,0):$C$27,1,OFFSET(AC17,1,0):AC$27)</f>
        <v>0</v>
      </c>
    </row>
    <row r="18" spans="1:29" customFormat="1" ht="14.25" customHeight="1" x14ac:dyDescent="0.25">
      <c r="A18" s="1"/>
      <c r="B18" s="1"/>
      <c r="C18" s="1"/>
      <c r="D18" s="1"/>
      <c r="E18" s="1"/>
      <c r="F18" s="1"/>
      <c r="G18" s="1"/>
      <c r="H18" s="1"/>
      <c r="I18" s="1"/>
      <c r="J18" s="1"/>
      <c r="K18" s="1"/>
      <c r="L18" s="373" t="str">
        <f ca="1">INDEX(PO!K$12:K$27,MATCH($A20,PO!$V$12:$V$27,0))</f>
        <v>1.</v>
      </c>
      <c r="M18" s="375" t="str">
        <f ca="1">INDEX(PO!N$12:N$27,MATCH($A20,PO!$V$12:$V$27,0))</f>
        <v>SERVIÇO INICIAIS</v>
      </c>
      <c r="N18" s="387">
        <f ca="1">IF(ROUND(K20,2)=0,K20,ROUND(K20,2))</f>
        <v>9.9999999999999998E-13</v>
      </c>
      <c r="O18" s="203" t="s">
        <v>143</v>
      </c>
      <c r="P18" s="225">
        <v>0.5</v>
      </c>
      <c r="Q18" s="226">
        <v>0.25</v>
      </c>
      <c r="R18" s="226">
        <v>0.25</v>
      </c>
      <c r="S18" s="226"/>
      <c r="T18" s="226"/>
      <c r="U18" s="226"/>
      <c r="V18" s="226">
        <f ca="1">IF($B20,0,V19-IF(ISNUMBER(U19),U19,0))</f>
        <v>0</v>
      </c>
      <c r="W18" s="227">
        <f ca="1">IF($B20,0,W19-IF(ISNUMBER(V19),V19,0))</f>
        <v>0</v>
      </c>
      <c r="X18" s="197" t="s">
        <v>106</v>
      </c>
      <c r="AC18" s="221">
        <f ca="1">IF($B20,0,AC19-IF(ISNUMBER(AB19),AB19,0))</f>
        <v>0</v>
      </c>
    </row>
    <row r="19" spans="1:29" customFormat="1" ht="13.8" x14ac:dyDescent="0.25">
      <c r="A19" s="1"/>
      <c r="B19" s="1"/>
      <c r="C19" s="1"/>
      <c r="D19" s="1"/>
      <c r="E19" s="1"/>
      <c r="F19" s="1"/>
      <c r="G19" s="1"/>
      <c r="H19" s="1"/>
      <c r="I19" s="1"/>
      <c r="J19" s="1"/>
      <c r="K19" s="1"/>
      <c r="L19" s="374"/>
      <c r="M19" s="376"/>
      <c r="N19" s="388"/>
      <c r="O19" s="170" t="s">
        <v>145</v>
      </c>
      <c r="P19" s="198">
        <f t="shared" ref="P19:W19" ca="1" si="7">MIN(IF($B20,P18+IF(ISNUMBER(O19),O19,0),P20/$N18),1)</f>
        <v>0.5</v>
      </c>
      <c r="Q19" s="168">
        <f t="shared" ca="1" si="7"/>
        <v>0.75</v>
      </c>
      <c r="R19" s="168">
        <f t="shared" ca="1" si="7"/>
        <v>1</v>
      </c>
      <c r="S19" s="168">
        <f t="shared" ca="1" si="7"/>
        <v>1</v>
      </c>
      <c r="T19" s="168">
        <f t="shared" ca="1" si="7"/>
        <v>1</v>
      </c>
      <c r="U19" s="168">
        <f t="shared" ca="1" si="7"/>
        <v>1</v>
      </c>
      <c r="V19" s="168">
        <f t="shared" ca="1" si="7"/>
        <v>1</v>
      </c>
      <c r="W19" s="168">
        <f t="shared" ca="1" si="7"/>
        <v>1</v>
      </c>
      <c r="X19" s="196"/>
      <c r="AC19" s="168">
        <f ca="1">MIN(IF($B20,AC18+IF(ISNUMBER(AB19),AB19,0),AC20/$N18),1)</f>
        <v>0</v>
      </c>
    </row>
    <row r="20" spans="1:29" customFormat="1" ht="13.8" x14ac:dyDescent="0.25">
      <c r="A20" s="114">
        <f ca="1">OFFSET(A20,-CFF.NumLinha,0)+1</f>
        <v>1</v>
      </c>
      <c r="B20" s="1" t="b">
        <f ca="1">$C20&gt;=OFFSET($C20,CFF.NumLinha,0)</f>
        <v>1</v>
      </c>
      <c r="C20" s="184">
        <f ca="1">INDEX(PO!A$12:A$27,MATCH($A20,PO!$V$12:$V$27,0))</f>
        <v>1</v>
      </c>
      <c r="D20" s="184">
        <f ca="1">IF(ISERROR(J20),I20,SMALL(I20:J20,1))-1</f>
        <v>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MATCH(0,OFFSET($D20,1,$C20,ROW($A$27)-ROW($A20)),0)</f>
        <v>7</v>
      </c>
      <c r="J20" s="184">
        <f ca="1">MATCH(OFFSET($D20,0,$C20)+1,OFFSET($D20,1,$C20,ROW($A$27)-ROW($A20)),0)</f>
        <v>3</v>
      </c>
      <c r="K20" s="185">
        <f ca="1">ROUND(INDEX(PO!T$12:T$27,MATCH($A20,PO!$V$12:$V$27,0)),2)+10^-12</f>
        <v>9.9999999999999998E-13</v>
      </c>
      <c r="L20" s="374"/>
      <c r="M20" s="376"/>
      <c r="N20" s="388"/>
      <c r="O20" s="204" t="s">
        <v>20</v>
      </c>
      <c r="P20" s="199">
        <f t="shared" ref="P20:W20" ca="1" si="8">IF($B20,ROUND(P19*$N18,2),ROUND(SUMIF(OFFSET($B20,1,0,$D20),TRUE,OFFSET(P20,1,0,$D20))/SUMIF(OFFSET($B20,1,0,$D20),TRUE,OFFSET($K20,1,0,$D20))*$N18,2))</f>
        <v>0</v>
      </c>
      <c r="Q20" s="169">
        <f t="shared" ca="1" si="8"/>
        <v>0</v>
      </c>
      <c r="R20" s="169">
        <f t="shared" ca="1" si="8"/>
        <v>0</v>
      </c>
      <c r="S20" s="169">
        <f t="shared" ca="1" si="8"/>
        <v>0</v>
      </c>
      <c r="T20" s="169">
        <f t="shared" ca="1" si="8"/>
        <v>0</v>
      </c>
      <c r="U20" s="169">
        <f t="shared" ca="1" si="8"/>
        <v>0</v>
      </c>
      <c r="V20" s="169">
        <f t="shared" ca="1" si="8"/>
        <v>0</v>
      </c>
      <c r="W20" s="207">
        <f t="shared" ca="1" si="8"/>
        <v>0</v>
      </c>
      <c r="X20" s="196"/>
      <c r="AC20" s="169">
        <f ca="1">IF($B20,ROUND(AC19*$N18,2),ROUND(SUMIF(OFFSET($B20,1,0,$D20),TRUE,OFFSET(AC20,1,0,$D20))/SUMIF(OFFSET($B20,1,0,$D20),TRUE,OFFSET($K20,1,0,$D20))*$N18,2))</f>
        <v>0</v>
      </c>
    </row>
    <row r="21" spans="1:29" customFormat="1" ht="14.25" customHeight="1" x14ac:dyDescent="0.25">
      <c r="A21" s="82"/>
      <c r="B21" s="82"/>
      <c r="C21" s="82"/>
      <c r="D21" s="82"/>
      <c r="E21" s="82"/>
      <c r="F21" s="82"/>
      <c r="G21" s="82"/>
      <c r="H21" s="82"/>
      <c r="I21" s="82"/>
      <c r="J21" s="82"/>
      <c r="K21" s="82"/>
      <c r="L21" s="373" t="str">
        <f ca="1">INDEX(PO!K$12:K$27,MATCH($A23,PO!$V$12:$V$27,0))</f>
        <v>2.</v>
      </c>
      <c r="M21" s="375" t="str">
        <f ca="1">INDEX(PO!N$12:N$27,MATCH($A23,PO!$V$12:$V$27,0))</f>
        <v>DRENAGEM</v>
      </c>
      <c r="N21" s="387">
        <f ca="1">IF(ROUND(K23,2)=0,K23,ROUND(K23,2))</f>
        <v>9.9999999999999998E-13</v>
      </c>
      <c r="O21" s="220" t="s">
        <v>143</v>
      </c>
      <c r="P21" s="225">
        <v>0.5</v>
      </c>
      <c r="Q21" s="226">
        <v>0.5</v>
      </c>
      <c r="R21" s="226">
        <v>0.25</v>
      </c>
      <c r="S21" s="226">
        <f t="shared" ref="S21:W21" ca="1" si="9">IF($B23,0,S22-IF(ISNUMBER(R22),R22,0))</f>
        <v>0</v>
      </c>
      <c r="T21" s="226">
        <f t="shared" ca="1" si="9"/>
        <v>0</v>
      </c>
      <c r="U21" s="226">
        <f t="shared" ca="1" si="9"/>
        <v>0</v>
      </c>
      <c r="V21" s="226">
        <f t="shared" ca="1" si="9"/>
        <v>0</v>
      </c>
      <c r="W21" s="227">
        <f t="shared" ca="1" si="9"/>
        <v>0</v>
      </c>
      <c r="X21" s="196"/>
      <c r="AC21" s="221">
        <f ca="1">IF($B23,0,AC22-IF(ISNUMBER(AB22),AB22,0))</f>
        <v>0</v>
      </c>
    </row>
    <row r="22" spans="1:29" customFormat="1" ht="13.8" x14ac:dyDescent="0.25">
      <c r="A22" s="184"/>
      <c r="B22" s="184"/>
      <c r="C22" s="184"/>
      <c r="D22" s="184"/>
      <c r="E22" s="184"/>
      <c r="F22" s="184"/>
      <c r="G22" s="184"/>
      <c r="H22" s="184"/>
      <c r="I22" s="184"/>
      <c r="J22" s="184"/>
      <c r="K22" s="184"/>
      <c r="L22" s="374"/>
      <c r="M22" s="376"/>
      <c r="N22" s="388"/>
      <c r="O22" s="170" t="s">
        <v>145</v>
      </c>
      <c r="P22" s="198">
        <f t="shared" ref="P22:W22" ca="1" si="10">MIN(IF($B23,P21+IF(ISNUMBER(O22),O22,0),P23/$N21),1)</f>
        <v>0.5</v>
      </c>
      <c r="Q22" s="168">
        <f t="shared" ca="1" si="10"/>
        <v>1</v>
      </c>
      <c r="R22" s="168">
        <f t="shared" ca="1" si="10"/>
        <v>1</v>
      </c>
      <c r="S22" s="168">
        <f t="shared" ca="1" si="10"/>
        <v>1</v>
      </c>
      <c r="T22" s="168">
        <f t="shared" ca="1" si="10"/>
        <v>1</v>
      </c>
      <c r="U22" s="168">
        <f t="shared" ca="1" si="10"/>
        <v>1</v>
      </c>
      <c r="V22" s="168">
        <f t="shared" ca="1" si="10"/>
        <v>1</v>
      </c>
      <c r="W22" s="168">
        <f t="shared" ca="1" si="10"/>
        <v>1</v>
      </c>
      <c r="X22" s="196"/>
      <c r="AC22" s="168">
        <f ca="1">MIN(IF($B23,AC21+IF(ISNUMBER(AB22),AB22,0),AC23/$N21),1)</f>
        <v>0</v>
      </c>
    </row>
    <row r="23" spans="1:29" customFormat="1" ht="13.8" x14ac:dyDescent="0.25">
      <c r="A23" s="184">
        <f ca="1">OFFSET(A23,-CFF.NumLinha,0)+1</f>
        <v>2</v>
      </c>
      <c r="B23" s="184" t="b">
        <f ca="1">$C23&gt;=OFFSET($C23,CFF.NumLinha,0)</f>
        <v>1</v>
      </c>
      <c r="C23" s="184">
        <f ca="1">INDEX(PO!A$12:A$27,MATCH($A23,PO!$V$12:$V$27,0))</f>
        <v>1</v>
      </c>
      <c r="D23" s="184">
        <f ca="1">IF(ISERROR(J23),I23,SMALL(I23:J23,1))-1</f>
        <v>2</v>
      </c>
      <c r="E23" s="184">
        <f ca="1">IF($C23=1,OFFSET(E23,-CFF.NumLinha,0)+1,OFFSET(E23,-CFF.NumLinha,0))</f>
        <v>2</v>
      </c>
      <c r="F23" s="184">
        <f ca="1">IF($C23=1,0,IF($C23=2,OFFSET(F23,-CFF.NumLinha,0)+1,OFFSET(F23,-CFF.NumLinha,0)))</f>
        <v>0</v>
      </c>
      <c r="G23" s="184">
        <f ca="1">IF(AND($C23&lt;=2,$C23&lt;&gt;0),0,IF($C23=3,OFFSET(G23,-CFF.NumLinha,0)+1,OFFSET(G23,-CFF.NumLinha,0)))</f>
        <v>0</v>
      </c>
      <c r="H23" s="184">
        <f ca="1">IF(AND($C23&lt;=3,$C23&lt;&gt;0),0,IF($C23=4,OFFSET(H23,-CFF.NumLinha,0)+1,OFFSET(H23,-CFF.NumLinha,0)))</f>
        <v>0</v>
      </c>
      <c r="I23" s="184">
        <f ca="1">MATCH(0,OFFSET($D23,1,$C23,ROW($A$27)-ROW($A23)),0)</f>
        <v>4</v>
      </c>
      <c r="J23" s="184">
        <f ca="1">MATCH(OFFSET($D23,0,$C23)+1,OFFSET($D23,1,$C23,ROW($A$27)-ROW($A23)),0)</f>
        <v>3</v>
      </c>
      <c r="K23" s="185">
        <f ca="1">ROUND(INDEX(PO!T$12:T$27,MATCH($A23,PO!$V$12:$V$27,0)),2)+10^-12</f>
        <v>9.9999999999999998E-13</v>
      </c>
      <c r="L23" s="374"/>
      <c r="M23" s="376"/>
      <c r="N23" s="388"/>
      <c r="O23" s="204" t="s">
        <v>20</v>
      </c>
      <c r="P23" s="199">
        <f t="shared" ref="P23:W23" ca="1" si="11">IF($B23,ROUND(P22*$N21,2),ROUND(SUMIF(OFFSET($B23,1,0,$D23),TRUE,OFFSET(P23,1,0,$D23))/SUMIF(OFFSET($B23,1,0,$D23),TRUE,OFFSET($K23,1,0,$D23))*$N21,2))</f>
        <v>0</v>
      </c>
      <c r="Q23" s="169">
        <f t="shared" ca="1" si="11"/>
        <v>0</v>
      </c>
      <c r="R23" s="169">
        <f t="shared" ca="1" si="11"/>
        <v>0</v>
      </c>
      <c r="S23" s="169">
        <f t="shared" ca="1" si="11"/>
        <v>0</v>
      </c>
      <c r="T23" s="169">
        <f t="shared" ca="1" si="11"/>
        <v>0</v>
      </c>
      <c r="U23" s="169">
        <f t="shared" ca="1" si="11"/>
        <v>0</v>
      </c>
      <c r="V23" s="169">
        <f t="shared" ca="1" si="11"/>
        <v>0</v>
      </c>
      <c r="W23" s="207">
        <f t="shared" ca="1" si="11"/>
        <v>0</v>
      </c>
      <c r="X23" s="196"/>
      <c r="AC23" s="169">
        <f ca="1">IF($B23,ROUND(AC22*$N21,2),ROUND(SUMIF(OFFSET($B23,1,0,$D23),TRUE,OFFSET(AC23,1,0,$D23))/SUMIF(OFFSET($B23,1,0,$D23),TRUE,OFFSET($K23,1,0,$D23))*$N21,2))</f>
        <v>0</v>
      </c>
    </row>
    <row r="24" spans="1:29" customFormat="1" ht="14.25" customHeight="1" x14ac:dyDescent="0.25">
      <c r="A24" s="82"/>
      <c r="B24" s="82"/>
      <c r="C24" s="82"/>
      <c r="D24" s="82"/>
      <c r="E24" s="82"/>
      <c r="F24" s="82"/>
      <c r="G24" s="82"/>
      <c r="H24" s="82"/>
      <c r="I24" s="82"/>
      <c r="J24" s="82"/>
      <c r="K24" s="82"/>
      <c r="L24" s="373" t="str">
        <f ca="1">INDEX(PO!K$12:K$27,MATCH($A26,PO!$V$12:$V$27,0))</f>
        <v>3.</v>
      </c>
      <c r="M24" s="375" t="str">
        <f ca="1">INDEX(PO!N$12:N$27,MATCH($A26,PO!$V$12:$V$27,0))</f>
        <v>PAVIMENTAÇÃO</v>
      </c>
      <c r="N24" s="387">
        <f t="shared" ref="N24" ca="1" si="12">IF(ROUND(K26,2)=0,K26,ROUND(K26,2))</f>
        <v>9.9999999999999998E-13</v>
      </c>
      <c r="O24" s="220" t="s">
        <v>143</v>
      </c>
      <c r="P24" s="225">
        <f t="shared" ref="P24" ca="1" si="13">IF($B26,0,P25-IF(ISNUMBER(O25),O25,0))</f>
        <v>0</v>
      </c>
      <c r="Q24" s="226">
        <v>0.5</v>
      </c>
      <c r="R24" s="226">
        <v>0.5</v>
      </c>
      <c r="S24" s="226">
        <f t="shared" ref="S24" ca="1" si="14">IF($B26,0,S25-IF(ISNUMBER(R25),R25,0))</f>
        <v>0</v>
      </c>
      <c r="T24" s="226">
        <f t="shared" ref="T24" ca="1" si="15">IF($B26,0,T25-IF(ISNUMBER(S25),S25,0))</f>
        <v>0</v>
      </c>
      <c r="U24" s="226">
        <f t="shared" ref="U24" ca="1" si="16">IF($B26,0,U25-IF(ISNUMBER(T25),T25,0))</f>
        <v>0</v>
      </c>
      <c r="V24" s="226">
        <f t="shared" ref="V24" ca="1" si="17">IF($B26,0,V25-IF(ISNUMBER(U25),U25,0))</f>
        <v>0</v>
      </c>
      <c r="W24" s="227">
        <f t="shared" ref="W24" ca="1" si="18">IF($B26,0,W25-IF(ISNUMBER(V25),V25,0))</f>
        <v>0</v>
      </c>
      <c r="X24" s="196"/>
      <c r="AC24" s="221">
        <f t="shared" ref="AC24" ca="1" si="19">IF($B26,0,AC25-IF(ISNUMBER(AB25),AB25,0))</f>
        <v>0</v>
      </c>
    </row>
    <row r="25" spans="1:29" customFormat="1" ht="13.8" x14ac:dyDescent="0.25">
      <c r="A25" s="184"/>
      <c r="B25" s="184"/>
      <c r="C25" s="184"/>
      <c r="D25" s="184"/>
      <c r="E25" s="184"/>
      <c r="F25" s="184"/>
      <c r="G25" s="184"/>
      <c r="H25" s="184"/>
      <c r="I25" s="184"/>
      <c r="J25" s="184"/>
      <c r="K25" s="184"/>
      <c r="L25" s="374"/>
      <c r="M25" s="376"/>
      <c r="N25" s="388"/>
      <c r="O25" s="170" t="s">
        <v>145</v>
      </c>
      <c r="P25" s="198">
        <f t="shared" ref="P25" ca="1" si="20">MIN(IF($B26,P24+IF(ISNUMBER(O25),O25,0),P26/$N24),1)</f>
        <v>0</v>
      </c>
      <c r="Q25" s="168">
        <f t="shared" ref="Q25" ca="1" si="21">MIN(IF($B26,Q24+IF(ISNUMBER(P25),P25,0),Q26/$N24),1)</f>
        <v>0.5</v>
      </c>
      <c r="R25" s="168">
        <f t="shared" ref="R25" ca="1" si="22">MIN(IF($B26,R24+IF(ISNUMBER(Q25),Q25,0),R26/$N24),1)</f>
        <v>1</v>
      </c>
      <c r="S25" s="168">
        <f t="shared" ref="S25" ca="1" si="23">MIN(IF($B26,S24+IF(ISNUMBER(R25),R25,0),S26/$N24),1)</f>
        <v>1</v>
      </c>
      <c r="T25" s="168">
        <f t="shared" ref="T25" ca="1" si="24">MIN(IF($B26,T24+IF(ISNUMBER(S25),S25,0),T26/$N24),1)</f>
        <v>1</v>
      </c>
      <c r="U25" s="168">
        <f t="shared" ref="U25" ca="1" si="25">MIN(IF($B26,U24+IF(ISNUMBER(T25),T25,0),U26/$N24),1)</f>
        <v>1</v>
      </c>
      <c r="V25" s="168">
        <f t="shared" ref="V25" ca="1" si="26">MIN(IF($B26,V24+IF(ISNUMBER(U25),U25,0),V26/$N24),1)</f>
        <v>1</v>
      </c>
      <c r="W25" s="168">
        <f t="shared" ref="W25" ca="1" si="27">MIN(IF($B26,W24+IF(ISNUMBER(V25),V25,0),W26/$N24),1)</f>
        <v>1</v>
      </c>
      <c r="X25" s="196"/>
      <c r="AC25" s="168">
        <f t="shared" ref="AC25" ca="1" si="28">MIN(IF($B26,AC24+IF(ISNUMBER(AB25),AB25,0),AC26/$N24),1)</f>
        <v>0</v>
      </c>
    </row>
    <row r="26" spans="1:29" customFormat="1" ht="13.8" x14ac:dyDescent="0.25">
      <c r="A26" s="184">
        <f ca="1">OFFSET(A26,-CFF.NumLinha,0)+1</f>
        <v>3</v>
      </c>
      <c r="B26" s="184" t="b">
        <f ca="1">$C26&gt;=OFFSET($C26,CFF.NumLinha,0)</f>
        <v>1</v>
      </c>
      <c r="C26" s="184">
        <f ca="1">INDEX(PO!A$12:A$27,MATCH($A26,PO!$V$12:$V$27,0))</f>
        <v>1</v>
      </c>
      <c r="D26" s="184">
        <f t="shared" ref="D26" ca="1" si="29">IF(ISERROR(J26),I26,SMALL(I26:J26,1))-1</f>
        <v>0</v>
      </c>
      <c r="E26" s="184">
        <f ca="1">IF($C26=1,OFFSET(E26,-CFF.NumLinha,0)+1,OFFSET(E26,-CFF.NumLinha,0))</f>
        <v>3</v>
      </c>
      <c r="F26" s="184">
        <f ca="1">IF($C26=1,0,IF($C26=2,OFFSET(F26,-CFF.NumLinha,0)+1,OFFSET(F26,-CFF.NumLinha,0)))</f>
        <v>0</v>
      </c>
      <c r="G26" s="184">
        <f ca="1">IF(AND($C26&lt;=2,$C26&lt;&gt;0),0,IF($C26=3,OFFSET(G26,-CFF.NumLinha,0)+1,OFFSET(G26,-CFF.NumLinha,0)))</f>
        <v>0</v>
      </c>
      <c r="H26" s="184">
        <f ca="1">IF(AND($C26&lt;=3,$C26&lt;&gt;0),0,IF($C26=4,OFFSET(H26,-CFF.NumLinha,0)+1,OFFSET(H26,-CFF.NumLinha,0)))</f>
        <v>0</v>
      </c>
      <c r="I26" s="184">
        <f ca="1">MATCH(0,OFFSET($D26,1,$C26,ROW($A$27)-ROW($A26)),0)</f>
        <v>1</v>
      </c>
      <c r="J26" s="184" t="e">
        <f ca="1">MATCH(OFFSET($D26,0,$C26)+1,OFFSET($D26,1,$C26,ROW($A$27)-ROW($A26)),0)</f>
        <v>#N/A</v>
      </c>
      <c r="K26" s="185">
        <f ca="1">ROUND(INDEX(PO!T$12:T$27,MATCH($A26,PO!$V$12:$V$27,0)),2)+10^-12</f>
        <v>9.9999999999999998E-13</v>
      </c>
      <c r="L26" s="374"/>
      <c r="M26" s="376"/>
      <c r="N26" s="388"/>
      <c r="O26" s="204" t="s">
        <v>20</v>
      </c>
      <c r="P26" s="199">
        <f t="shared" ref="P26:W26" ca="1" si="30">IF($B26,ROUND(P25*$N24,2),ROUND(SUMIF(OFFSET($B26,1,0,$D26),TRUE,OFFSET(P26,1,0,$D26))/SUMIF(OFFSET($B26,1,0,$D26),TRUE,OFFSET($K26,1,0,$D26))*$N24,2))</f>
        <v>0</v>
      </c>
      <c r="Q26" s="169">
        <f t="shared" ca="1" si="30"/>
        <v>0</v>
      </c>
      <c r="R26" s="169">
        <f t="shared" ca="1" si="30"/>
        <v>0</v>
      </c>
      <c r="S26" s="169">
        <f t="shared" ca="1" si="30"/>
        <v>0</v>
      </c>
      <c r="T26" s="169">
        <f t="shared" ca="1" si="30"/>
        <v>0</v>
      </c>
      <c r="U26" s="169">
        <f t="shared" ca="1" si="30"/>
        <v>0</v>
      </c>
      <c r="V26" s="169">
        <f t="shared" ca="1" si="30"/>
        <v>0</v>
      </c>
      <c r="W26" s="207">
        <f t="shared" ca="1" si="30"/>
        <v>0</v>
      </c>
      <c r="X26" s="196"/>
      <c r="AC26" s="169">
        <f t="shared" ref="AC26" ca="1" si="31">IF($B26,ROUND(AC25*$N24,2),ROUND(SUMIF(OFFSET($B26,1,0,$D26),TRUE,OFFSET(AC26,1,0,$D26))/SUMIF(OFFSET($B26,1,0,$D26),TRUE,OFFSET($K26,1,0,$D26))*$N24,2))</f>
        <v>0</v>
      </c>
    </row>
    <row r="27" spans="1:29" s="45" customFormat="1" ht="12.75" customHeight="1" x14ac:dyDescent="0.25">
      <c r="A27" s="1"/>
      <c r="B27" s="1"/>
      <c r="C27" s="184">
        <v>-1</v>
      </c>
      <c r="D27" s="184"/>
      <c r="E27" s="184">
        <v>0</v>
      </c>
      <c r="F27" s="184">
        <v>0</v>
      </c>
      <c r="G27" s="184">
        <v>0</v>
      </c>
      <c r="H27" s="184">
        <v>0</v>
      </c>
      <c r="I27" s="1"/>
      <c r="J27" s="1"/>
      <c r="K27" s="1"/>
      <c r="L27" s="154"/>
      <c r="M27" s="154"/>
      <c r="N27" s="155"/>
      <c r="O27" s="154"/>
      <c r="P27" s="154"/>
      <c r="Q27" s="155"/>
      <c r="R27" s="154"/>
      <c r="S27" s="154"/>
      <c r="T27" s="154"/>
      <c r="U27" s="154"/>
      <c r="V27" s="154"/>
      <c r="W27" s="154"/>
      <c r="X27" s="186"/>
      <c r="AC27" s="154"/>
    </row>
    <row r="28" spans="1:29" ht="12" customHeight="1" x14ac:dyDescent="0.25">
      <c r="A28" s="1"/>
      <c r="B28" s="1"/>
      <c r="C28" s="1"/>
      <c r="D28" s="1"/>
      <c r="E28" s="1"/>
      <c r="F28" s="1"/>
      <c r="G28" s="1"/>
      <c r="H28" s="1"/>
      <c r="I28" s="1"/>
      <c r="J28" s="1"/>
      <c r="K28" s="1"/>
      <c r="L28" s="187"/>
      <c r="M28" s="187"/>
      <c r="N28" s="187"/>
      <c r="O28" s="187"/>
      <c r="P28" s="187"/>
      <c r="Q28" s="187"/>
      <c r="R28" s="187"/>
      <c r="S28" s="187"/>
      <c r="T28" s="187"/>
      <c r="U28" s="187"/>
      <c r="V28" s="187"/>
      <c r="W28" s="187"/>
      <c r="X28" s="188"/>
      <c r="AC28" s="187"/>
    </row>
    <row r="29" spans="1:29" x14ac:dyDescent="0.25">
      <c r="A29" s="1"/>
      <c r="B29" s="1"/>
      <c r="C29" s="1"/>
      <c r="D29" s="1"/>
      <c r="E29" s="1"/>
      <c r="F29" s="1"/>
      <c r="G29" s="1"/>
      <c r="H29" s="1"/>
      <c r="I29" s="1"/>
      <c r="J29" s="1"/>
      <c r="K29" s="1"/>
      <c r="L29" s="392">
        <f>DADOS!I32</f>
        <v>0</v>
      </c>
      <c r="M29" s="392"/>
      <c r="N29" s="392"/>
      <c r="O29" s="187"/>
      <c r="P29" s="189"/>
      <c r="Q29" s="389"/>
      <c r="R29" s="389"/>
      <c r="S29" s="389"/>
      <c r="T29" s="187"/>
      <c r="U29" s="187"/>
      <c r="V29" s="187"/>
      <c r="W29" s="187"/>
      <c r="X29" s="188"/>
      <c r="AC29" s="187"/>
    </row>
    <row r="30" spans="1:29" x14ac:dyDescent="0.25">
      <c r="A30" s="1"/>
      <c r="B30" s="1"/>
      <c r="C30" s="1"/>
      <c r="D30" s="1"/>
      <c r="E30" s="1"/>
      <c r="F30" s="1"/>
      <c r="G30" s="1"/>
      <c r="H30" s="1"/>
      <c r="I30" s="1"/>
      <c r="J30" s="1"/>
      <c r="K30" s="1"/>
      <c r="L30" s="190" t="s">
        <v>120</v>
      </c>
      <c r="M30" s="391"/>
      <c r="N30" s="391"/>
      <c r="O30" s="187"/>
      <c r="P30" s="189"/>
      <c r="Q30" s="389"/>
      <c r="R30" s="389"/>
      <c r="S30" s="389"/>
      <c r="T30" s="187"/>
      <c r="U30" s="187"/>
      <c r="V30" s="187"/>
      <c r="W30" s="187"/>
      <c r="X30" s="188"/>
      <c r="AC30" s="187"/>
    </row>
    <row r="31" spans="1:29" x14ac:dyDescent="0.25">
      <c r="A31" s="1"/>
      <c r="B31" s="1"/>
      <c r="C31" s="1"/>
      <c r="D31" s="1"/>
      <c r="E31" s="1"/>
      <c r="F31" s="1"/>
      <c r="G31" s="1"/>
      <c r="H31" s="1"/>
      <c r="I31" s="1"/>
      <c r="J31" s="1"/>
      <c r="K31" s="1"/>
      <c r="L31" s="189"/>
      <c r="M31" s="390"/>
      <c r="N31" s="391"/>
      <c r="O31" s="187"/>
      <c r="P31" s="189"/>
      <c r="Q31" s="389"/>
      <c r="R31" s="389"/>
      <c r="S31" s="389"/>
      <c r="T31" s="187"/>
      <c r="U31" s="187"/>
      <c r="V31" s="187"/>
      <c r="W31" s="187"/>
      <c r="X31" s="188"/>
      <c r="AC31" s="187"/>
    </row>
    <row r="32" spans="1:29" x14ac:dyDescent="0.25">
      <c r="A32" s="1"/>
      <c r="B32" s="1"/>
      <c r="C32" s="1"/>
      <c r="D32" s="1"/>
      <c r="E32" s="1"/>
      <c r="F32" s="1"/>
      <c r="G32" s="1"/>
      <c r="H32" s="1"/>
      <c r="I32" s="1"/>
      <c r="J32" s="1"/>
      <c r="K32" s="1"/>
      <c r="L32" s="372">
        <f ca="1">PO!K41</f>
        <v>45684</v>
      </c>
      <c r="M32" s="372"/>
      <c r="N32" s="372"/>
      <c r="O32" s="187"/>
      <c r="P32" s="187"/>
      <c r="Q32" s="187"/>
      <c r="R32" s="187"/>
      <c r="S32" s="187"/>
      <c r="T32" s="187"/>
      <c r="U32" s="187"/>
      <c r="V32" s="187"/>
      <c r="W32" s="187"/>
      <c r="X32" s="191"/>
      <c r="AC32" s="187"/>
    </row>
    <row r="33" spans="1:29" x14ac:dyDescent="0.25">
      <c r="A33" s="1"/>
      <c r="B33" s="1"/>
      <c r="C33" s="1"/>
      <c r="D33" s="1"/>
      <c r="E33" s="1"/>
      <c r="F33" s="1"/>
      <c r="G33" s="1"/>
      <c r="H33" s="1"/>
      <c r="I33" s="1"/>
      <c r="J33" s="1"/>
      <c r="K33" s="1"/>
      <c r="L33" s="192" t="s">
        <v>121</v>
      </c>
      <c r="M33" s="193"/>
      <c r="N33" s="193"/>
      <c r="O33" s="187"/>
      <c r="P33" s="187"/>
      <c r="Q33" s="187"/>
      <c r="R33" s="187"/>
      <c r="S33" s="187"/>
      <c r="T33" s="187"/>
      <c r="U33" s="187"/>
      <c r="V33" s="187"/>
      <c r="W33" s="187"/>
      <c r="X33" s="191"/>
      <c r="AC33" s="187"/>
    </row>
    <row r="34" spans="1:29" x14ac:dyDescent="0.25">
      <c r="A34" s="1"/>
      <c r="B34" s="1"/>
      <c r="C34" s="1"/>
      <c r="D34" s="1"/>
      <c r="E34" s="1"/>
      <c r="F34" s="1"/>
      <c r="G34" s="1"/>
      <c r="H34" s="1"/>
      <c r="I34" s="1"/>
      <c r="J34" s="1"/>
      <c r="K34" s="1"/>
      <c r="L34" s="187"/>
      <c r="M34" s="187"/>
      <c r="N34" s="187"/>
      <c r="O34" s="187"/>
      <c r="P34" s="187"/>
      <c r="Q34" s="187"/>
      <c r="R34" s="187"/>
      <c r="S34" s="187"/>
      <c r="T34" s="187"/>
      <c r="U34" s="187"/>
      <c r="V34" s="187"/>
      <c r="W34" s="187"/>
      <c r="X34" s="191"/>
      <c r="AC34" s="187"/>
    </row>
    <row r="35" spans="1:29" x14ac:dyDescent="0.25">
      <c r="A35" s="1"/>
      <c r="B35" s="1"/>
      <c r="C35" s="1"/>
      <c r="D35" s="1"/>
      <c r="E35" s="1"/>
      <c r="F35" s="1"/>
      <c r="G35" s="1"/>
      <c r="H35" s="1"/>
      <c r="I35" s="1"/>
      <c r="J35" s="1"/>
      <c r="K35" s="1"/>
      <c r="L35" s="187"/>
      <c r="M35" s="187"/>
      <c r="N35" s="194"/>
      <c r="O35" s="187"/>
      <c r="P35" s="187"/>
      <c r="Q35" s="187"/>
      <c r="R35" s="187"/>
      <c r="S35" s="187"/>
      <c r="T35" s="187"/>
      <c r="U35" s="187"/>
      <c r="V35" s="187"/>
      <c r="W35" s="187"/>
      <c r="X35" s="188"/>
      <c r="AC35" s="187"/>
    </row>
    <row r="36" spans="1:29" x14ac:dyDescent="0.25">
      <c r="A36" s="1"/>
      <c r="B36" s="1"/>
      <c r="C36" s="1"/>
      <c r="D36" s="1"/>
      <c r="E36" s="1"/>
      <c r="F36" s="1"/>
      <c r="G36" s="1"/>
      <c r="H36" s="1"/>
      <c r="I36" s="1"/>
      <c r="J36" s="1"/>
      <c r="K36" s="1"/>
      <c r="L36" s="187"/>
      <c r="M36" s="187"/>
      <c r="N36" s="194"/>
      <c r="O36" s="187"/>
      <c r="P36" s="187"/>
      <c r="Q36" s="187"/>
      <c r="R36" s="187"/>
      <c r="S36" s="187"/>
      <c r="T36" s="187"/>
      <c r="U36" s="187"/>
      <c r="V36" s="187"/>
      <c r="W36" s="187"/>
      <c r="X36" s="188"/>
      <c r="AC36" s="187"/>
    </row>
    <row r="37" spans="1:29" x14ac:dyDescent="0.25">
      <c r="A37" s="1"/>
      <c r="B37" s="1"/>
      <c r="C37" s="1"/>
      <c r="D37" s="1"/>
      <c r="E37" s="1"/>
      <c r="F37" s="1"/>
      <c r="G37" s="1"/>
      <c r="H37" s="1"/>
      <c r="I37" s="1"/>
      <c r="J37" s="1"/>
      <c r="K37" s="1"/>
      <c r="L37" s="82"/>
      <c r="M37" s="82"/>
      <c r="N37" s="7"/>
      <c r="O37" s="82"/>
      <c r="P37" s="82"/>
      <c r="Q37" s="82"/>
      <c r="R37" s="82"/>
      <c r="S37" s="82"/>
      <c r="T37" s="82"/>
      <c r="U37" s="82"/>
      <c r="V37" s="82"/>
      <c r="W37" s="187"/>
      <c r="X37" s="188"/>
      <c r="AC37" s="82"/>
    </row>
  </sheetData>
  <sheetProtection password="C95B" sheet="1" objects="1" scenarios="1"/>
  <mergeCells count="22">
    <mergeCell ref="L8:M8"/>
    <mergeCell ref="N11:N13"/>
    <mergeCell ref="M18:M20"/>
    <mergeCell ref="N18:N20"/>
    <mergeCell ref="Q31:S31"/>
    <mergeCell ref="M31:N31"/>
    <mergeCell ref="Q30:S30"/>
    <mergeCell ref="Q29:S29"/>
    <mergeCell ref="L29:N29"/>
    <mergeCell ref="M30:N30"/>
    <mergeCell ref="L21:L23"/>
    <mergeCell ref="M21:M23"/>
    <mergeCell ref="N21:N23"/>
    <mergeCell ref="L24:L26"/>
    <mergeCell ref="M24:M26"/>
    <mergeCell ref="N24:N26"/>
    <mergeCell ref="L32:N32"/>
    <mergeCell ref="L11:L13"/>
    <mergeCell ref="M11:M13"/>
    <mergeCell ref="L14:M17"/>
    <mergeCell ref="N14:N17"/>
    <mergeCell ref="L18:L20"/>
  </mergeCells>
  <phoneticPr fontId="20" type="noConversion"/>
  <conditionalFormatting sqref="L11:N11 L12:M13 L18:N18">
    <cfRule type="expression" dxfId="83" priority="1086" stopIfTrue="1">
      <formula>$C13=1</formula>
    </cfRule>
  </conditionalFormatting>
  <conditionalFormatting sqref="O11 O18">
    <cfRule type="expression" dxfId="82" priority="1158" stopIfTrue="1">
      <formula>$B13=FALSE</formula>
    </cfRule>
    <cfRule type="expression" dxfId="81" priority="1159" stopIfTrue="1">
      <formula>$C13=1</formula>
    </cfRule>
  </conditionalFormatting>
  <conditionalFormatting sqref="P12:W12">
    <cfRule type="expression" dxfId="80" priority="1148" stopIfTrue="1">
      <formula>AND(ISNUMBER(O13),O13&gt;=$N11)</formula>
    </cfRule>
    <cfRule type="cellIs" dxfId="79" priority="1149" stopIfTrue="1" operator="notBetween">
      <formula>0</formula>
      <formula>1</formula>
    </cfRule>
  </conditionalFormatting>
  <conditionalFormatting sqref="P13:W13">
    <cfRule type="expression" dxfId="78" priority="1150" stopIfTrue="1">
      <formula>AND(ISNUMBER(O13),O13&gt;=$N11)</formula>
    </cfRule>
    <cfRule type="cellIs" dxfId="77" priority="1151" stopIfTrue="1" operator="notBetween">
      <formula>0</formula>
      <formula>$N11</formula>
    </cfRule>
  </conditionalFormatting>
  <conditionalFormatting sqref="P14:W14">
    <cfRule type="expression" dxfId="76" priority="1152" stopIfTrue="1">
      <formula>AND(ISNUMBER(O17),O17&gt;=$N14)</formula>
    </cfRule>
  </conditionalFormatting>
  <conditionalFormatting sqref="P15:W15">
    <cfRule type="expression" dxfId="75" priority="1153" stopIfTrue="1">
      <formula>AND(ISNUMBER(O17),O17&gt;=$N14)</formula>
    </cfRule>
  </conditionalFormatting>
  <conditionalFormatting sqref="P16:W16">
    <cfRule type="expression" dxfId="74" priority="1154" stopIfTrue="1">
      <formula>AND(ISNUMBER(O17),O17&gt;=$N14)</formula>
    </cfRule>
    <cfRule type="cellIs" dxfId="73" priority="1155" stopIfTrue="1" operator="notBetween">
      <formula>0</formula>
      <formula>1</formula>
    </cfRule>
  </conditionalFormatting>
  <conditionalFormatting sqref="P17:W17">
    <cfRule type="expression" dxfId="72" priority="1156" stopIfTrue="1">
      <formula>AND(ISNUMBER(O17),O17&gt;=$N14)</formula>
    </cfRule>
    <cfRule type="cellIs" dxfId="71" priority="1157" stopIfTrue="1" operator="notBetween">
      <formula>0</formula>
      <formula>$N14</formula>
    </cfRule>
  </conditionalFormatting>
  <conditionalFormatting sqref="L8">
    <cfRule type="cellIs" dxfId="70" priority="1143" stopIfTrue="1" operator="notEqual">
      <formula>""</formula>
    </cfRule>
  </conditionalFormatting>
  <conditionalFormatting sqref="N9">
    <cfRule type="expression" dxfId="69" priority="1142" stopIfTrue="1">
      <formula>TipoOrçamento&lt;&gt;"REPROGRAMADOAC"</formula>
    </cfRule>
  </conditionalFormatting>
  <conditionalFormatting sqref="L19:M20">
    <cfRule type="expression" dxfId="68" priority="1977" stopIfTrue="1">
      <formula>#REF!=1</formula>
    </cfRule>
  </conditionalFormatting>
  <conditionalFormatting sqref="P11:W11">
    <cfRule type="expression" dxfId="67" priority="297" stopIfTrue="1">
      <formula>AND(ISNUMBER(O13),O13&gt;=$N11)</formula>
    </cfRule>
    <cfRule type="expression" dxfId="66" priority="298" stopIfTrue="1">
      <formula>$B13=FALSE</formula>
    </cfRule>
    <cfRule type="expression" dxfId="65" priority="299" stopIfTrue="1">
      <formula>$C13=1</formula>
    </cfRule>
  </conditionalFormatting>
  <conditionalFormatting sqref="P19:W19">
    <cfRule type="expression" dxfId="64" priority="248" stopIfTrue="1">
      <formula>AND(ISNUMBER(O20),O20&gt;=$N18)</formula>
    </cfRule>
    <cfRule type="cellIs" dxfId="63" priority="249" stopIfTrue="1" operator="notBetween">
      <formula>0</formula>
      <formula>1</formula>
    </cfRule>
  </conditionalFormatting>
  <conditionalFormatting sqref="P20:W20">
    <cfRule type="expression" dxfId="62" priority="250" stopIfTrue="1">
      <formula>AND(ISNUMBER(O20),O20&gt;=$N18)</formula>
    </cfRule>
    <cfRule type="cellIs" dxfId="61" priority="251" stopIfTrue="1" operator="notBetween">
      <formula>0</formula>
      <formula>$N18</formula>
    </cfRule>
  </conditionalFormatting>
  <conditionalFormatting sqref="O10:W10">
    <cfRule type="expression" dxfId="60" priority="220" stopIfTrue="1">
      <formula>1=1</formula>
    </cfRule>
  </conditionalFormatting>
  <conditionalFormatting sqref="P18:W18">
    <cfRule type="expression" dxfId="59" priority="175" stopIfTrue="1">
      <formula>AND(ISNUMBER(O20),O20&gt;=$N18)</formula>
    </cfRule>
    <cfRule type="expression" dxfId="58" priority="176" stopIfTrue="1">
      <formula>$B20=FALSE</formula>
    </cfRule>
    <cfRule type="expression" dxfId="57" priority="177" stopIfTrue="1">
      <formula>$C20=1</formula>
    </cfRule>
  </conditionalFormatting>
  <conditionalFormatting sqref="AC18">
    <cfRule type="expression" dxfId="56" priority="95" stopIfTrue="1">
      <formula>AND(ISNUMBER(AB20),AB20&gt;=$N18)</formula>
    </cfRule>
    <cfRule type="expression" dxfId="55" priority="96" stopIfTrue="1">
      <formula>$B20=FALSE</formula>
    </cfRule>
    <cfRule type="expression" dxfId="54" priority="97" stopIfTrue="1">
      <formula>$C20=1</formula>
    </cfRule>
  </conditionalFormatting>
  <conditionalFormatting sqref="AC12">
    <cfRule type="expression" dxfId="53" priority="110" stopIfTrue="1">
      <formula>AND(ISNUMBER(AB13),AB13&gt;=$N11)</formula>
    </cfRule>
    <cfRule type="cellIs" dxfId="52" priority="111" stopIfTrue="1" operator="notBetween">
      <formula>0</formula>
      <formula>1</formula>
    </cfRule>
  </conditionalFormatting>
  <conditionalFormatting sqref="AC13">
    <cfRule type="expression" dxfId="51" priority="112" stopIfTrue="1">
      <formula>AND(ISNUMBER(AB13),AB13&gt;=$N11)</formula>
    </cfRule>
    <cfRule type="cellIs" dxfId="50" priority="113" stopIfTrue="1" operator="notBetween">
      <formula>0</formula>
      <formula>$N11</formula>
    </cfRule>
  </conditionalFormatting>
  <conditionalFormatting sqref="AC14">
    <cfRule type="expression" dxfId="49" priority="114" stopIfTrue="1">
      <formula>AND(ISNUMBER(AB17),AB17&gt;=$N14)</formula>
    </cfRule>
  </conditionalFormatting>
  <conditionalFormatting sqref="AC15">
    <cfRule type="expression" dxfId="48" priority="115" stopIfTrue="1">
      <formula>AND(ISNUMBER(AB17),AB17&gt;=$N14)</formula>
    </cfRule>
  </conditionalFormatting>
  <conditionalFormatting sqref="AC16">
    <cfRule type="expression" dxfId="47" priority="116" stopIfTrue="1">
      <formula>AND(ISNUMBER(AB17),AB17&gt;=$N14)</formula>
    </cfRule>
    <cfRule type="cellIs" dxfId="46" priority="117" stopIfTrue="1" operator="notBetween">
      <formula>0</formula>
      <formula>1</formula>
    </cfRule>
  </conditionalFormatting>
  <conditionalFormatting sqref="AC17">
    <cfRule type="expression" dxfId="45" priority="118" stopIfTrue="1">
      <formula>AND(ISNUMBER(AB17),AB17&gt;=$N14)</formula>
    </cfRule>
    <cfRule type="cellIs" dxfId="44" priority="119" stopIfTrue="1" operator="notBetween">
      <formula>0</formula>
      <formula>$N14</formula>
    </cfRule>
  </conditionalFormatting>
  <conditionalFormatting sqref="AC11">
    <cfRule type="expression" dxfId="43" priority="107" stopIfTrue="1">
      <formula>AND(ISNUMBER(AB13),AB13&gt;=$N11)</formula>
    </cfRule>
    <cfRule type="expression" dxfId="42" priority="108" stopIfTrue="1">
      <formula>$B13=FALSE</formula>
    </cfRule>
    <cfRule type="expression" dxfId="41" priority="109" stopIfTrue="1">
      <formula>$C13=1</formula>
    </cfRule>
  </conditionalFormatting>
  <conditionalFormatting sqref="AC19">
    <cfRule type="expression" dxfId="40" priority="103" stopIfTrue="1">
      <formula>AND(ISNUMBER(AB20),AB20&gt;=$N18)</formula>
    </cfRule>
    <cfRule type="cellIs" dxfId="39" priority="104" stopIfTrue="1" operator="notBetween">
      <formula>0</formula>
      <formula>1</formula>
    </cfRule>
  </conditionalFormatting>
  <conditionalFormatting sqref="AC20">
    <cfRule type="expression" dxfId="38" priority="105" stopIfTrue="1">
      <formula>AND(ISNUMBER(AB20),AB20&gt;=$N18)</formula>
    </cfRule>
    <cfRule type="cellIs" dxfId="37" priority="106" stopIfTrue="1" operator="notBetween">
      <formula>0</formula>
      <formula>$N18</formula>
    </cfRule>
  </conditionalFormatting>
  <conditionalFormatting sqref="AC10">
    <cfRule type="expression" dxfId="36" priority="98" stopIfTrue="1">
      <formula>1=1</formula>
    </cfRule>
  </conditionalFormatting>
  <conditionalFormatting sqref="L21:N21">
    <cfRule type="expression" dxfId="35" priority="28" stopIfTrue="1">
      <formula>$C23=1</formula>
    </cfRule>
  </conditionalFormatting>
  <conditionalFormatting sqref="O21">
    <cfRule type="expression" dxfId="34" priority="33" stopIfTrue="1">
      <formula>$B23=FALSE</formula>
    </cfRule>
    <cfRule type="expression" dxfId="33" priority="34" stopIfTrue="1">
      <formula>$C23=1</formula>
    </cfRule>
  </conditionalFormatting>
  <conditionalFormatting sqref="P22:W22">
    <cfRule type="expression" dxfId="32" priority="29" stopIfTrue="1">
      <formula>AND(ISNUMBER(O23),O23&gt;=$N21)</formula>
    </cfRule>
    <cfRule type="cellIs" dxfId="31" priority="30" stopIfTrue="1" operator="notBetween">
      <formula>0</formula>
      <formula>1</formula>
    </cfRule>
  </conditionalFormatting>
  <conditionalFormatting sqref="P23:W23">
    <cfRule type="expression" dxfId="30" priority="31" stopIfTrue="1">
      <formula>AND(ISNUMBER(O23),O23&gt;=$N21)</formula>
    </cfRule>
    <cfRule type="cellIs" dxfId="29" priority="32" stopIfTrue="1" operator="notBetween">
      <formula>0</formula>
      <formula>$N21</formula>
    </cfRule>
  </conditionalFormatting>
  <conditionalFormatting sqref="P21:W21">
    <cfRule type="expression" dxfId="28" priority="25" stopIfTrue="1">
      <formula>AND(ISNUMBER(O23),O23&gt;=$N21)</formula>
    </cfRule>
    <cfRule type="expression" dxfId="27" priority="26" stopIfTrue="1">
      <formula>$B23=FALSE</formula>
    </cfRule>
    <cfRule type="expression" dxfId="26" priority="27" stopIfTrue="1">
      <formula>$C23=1</formula>
    </cfRule>
  </conditionalFormatting>
  <conditionalFormatting sqref="AC22">
    <cfRule type="expression" dxfId="25" priority="21" stopIfTrue="1">
      <formula>AND(ISNUMBER(AB23),AB23&gt;=$N21)</formula>
    </cfRule>
    <cfRule type="cellIs" dxfId="24" priority="22" stopIfTrue="1" operator="notBetween">
      <formula>0</formula>
      <formula>1</formula>
    </cfRule>
  </conditionalFormatting>
  <conditionalFormatting sqref="AC23">
    <cfRule type="expression" dxfId="23" priority="23" stopIfTrue="1">
      <formula>AND(ISNUMBER(AB23),AB23&gt;=$N21)</formula>
    </cfRule>
    <cfRule type="cellIs" dxfId="22" priority="24" stopIfTrue="1" operator="notBetween">
      <formula>0</formula>
      <formula>$N21</formula>
    </cfRule>
  </conditionalFormatting>
  <conditionalFormatting sqref="AC21">
    <cfRule type="expression" dxfId="21" priority="18" stopIfTrue="1">
      <formula>AND(ISNUMBER(AB23),AB23&gt;=$N21)</formula>
    </cfRule>
    <cfRule type="expression" dxfId="20" priority="19" stopIfTrue="1">
      <formula>$B23=FALSE</formula>
    </cfRule>
    <cfRule type="expression" dxfId="19" priority="20" stopIfTrue="1">
      <formula>$C23=1</formula>
    </cfRule>
  </conditionalFormatting>
  <conditionalFormatting sqref="L22:M23">
    <cfRule type="expression" dxfId="18" priority="3179" stopIfTrue="1">
      <formula>#REF!=1</formula>
    </cfRule>
  </conditionalFormatting>
  <conditionalFormatting sqref="L24:N24">
    <cfRule type="expression" dxfId="17" priority="11" stopIfTrue="1">
      <formula>$C26=1</formula>
    </cfRule>
  </conditionalFormatting>
  <conditionalFormatting sqref="O24">
    <cfRule type="expression" dxfId="16" priority="16" stopIfTrue="1">
      <formula>$B26=FALSE</formula>
    </cfRule>
    <cfRule type="expression" dxfId="15" priority="17" stopIfTrue="1">
      <formula>$C26=1</formula>
    </cfRule>
  </conditionalFormatting>
  <conditionalFormatting sqref="P25:W25">
    <cfRule type="expression" dxfId="14" priority="12" stopIfTrue="1">
      <formula>AND(ISNUMBER(O26),O26&gt;=$N24)</formula>
    </cfRule>
    <cfRule type="cellIs" dxfId="13" priority="13" stopIfTrue="1" operator="notBetween">
      <formula>0</formula>
      <formula>1</formula>
    </cfRule>
  </conditionalFormatting>
  <conditionalFormatting sqref="P26:W26">
    <cfRule type="expression" dxfId="12" priority="14" stopIfTrue="1">
      <formula>AND(ISNUMBER(O26),O26&gt;=$N24)</formula>
    </cfRule>
    <cfRule type="cellIs" dxfId="11" priority="15" stopIfTrue="1" operator="notBetween">
      <formula>0</formula>
      <formula>$N24</formula>
    </cfRule>
  </conditionalFormatting>
  <conditionalFormatting sqref="P24:W24">
    <cfRule type="expression" dxfId="10" priority="8" stopIfTrue="1">
      <formula>AND(ISNUMBER(O26),O26&gt;=$N24)</formula>
    </cfRule>
    <cfRule type="expression" dxfId="9" priority="9" stopIfTrue="1">
      <formula>$B26=FALSE</formula>
    </cfRule>
    <cfRule type="expression" dxfId="8" priority="10" stopIfTrue="1">
      <formula>$C26=1</formula>
    </cfRule>
  </conditionalFormatting>
  <conditionalFormatting sqref="AC25">
    <cfRule type="expression" dxfId="7" priority="4" stopIfTrue="1">
      <formula>AND(ISNUMBER(AB26),AB26&gt;=$N24)</formula>
    </cfRule>
    <cfRule type="cellIs" dxfId="6" priority="5" stopIfTrue="1" operator="notBetween">
      <formula>0</formula>
      <formula>1</formula>
    </cfRule>
  </conditionalFormatting>
  <conditionalFormatting sqref="AC26">
    <cfRule type="expression" dxfId="5" priority="6" stopIfTrue="1">
      <formula>AND(ISNUMBER(AB26),AB26&gt;=$N24)</formula>
    </cfRule>
    <cfRule type="cellIs" dxfId="4" priority="7" stopIfTrue="1" operator="notBetween">
      <formula>0</formula>
      <formula>$N24</formula>
    </cfRule>
  </conditionalFormatting>
  <conditionalFormatting sqref="AC24">
    <cfRule type="expression" dxfId="3" priority="1" stopIfTrue="1">
      <formula>AND(ISNUMBER(AB26),AB26&gt;=$N24)</formula>
    </cfRule>
    <cfRule type="expression" dxfId="2" priority="2" stopIfTrue="1">
      <formula>$B26=FALSE</formula>
    </cfRule>
    <cfRule type="expression" dxfId="1" priority="3" stopIfTrue="1">
      <formula>$C26=1</formula>
    </cfRule>
  </conditionalFormatting>
  <conditionalFormatting sqref="L25:M26">
    <cfRule type="expression" dxfId="0" priority="3375"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AC21 P24:W24 AC24">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58</vt:i4>
      </vt:variant>
    </vt:vector>
  </HeadingPairs>
  <TitlesOfParts>
    <vt:vector size="63" baseType="lpstr">
      <vt:lpstr>DADOS</vt:lpstr>
      <vt:lpstr>BDI (1)</vt:lpstr>
      <vt:lpstr>PO</vt:lpstr>
      <vt:lpstr>PLQ</vt:lpstr>
      <vt:lpstr>CFF</vt:lpstr>
      <vt:lpstr>PLQ!_FiltrarBancodeDados</vt:lpstr>
      <vt:lpstr>PO!_FiltrarBancodeDados</vt:lpstr>
      <vt:lpstr>'BDI (1)'!Area_de_impressao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Mauri Magnaguagno</cp:lastModifiedBy>
  <cp:lastPrinted>2025-01-27T17:09:17Z</cp:lastPrinted>
  <dcterms:created xsi:type="dcterms:W3CDTF">1998-03-27T18:43:07Z</dcterms:created>
  <dcterms:modified xsi:type="dcterms:W3CDTF">2025-01-27T17:09:49Z</dcterms:modified>
</cp:coreProperties>
</file>