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_rels/drawing1.xml.rels" ContentType="application/vnd.openxmlformats-package.relationship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Coleta Domiciliar" sheetId="1" state="visible" r:id="rId2"/>
    <sheet name="2.Encargos Sociais" sheetId="2" state="visible" r:id="rId3"/>
    <sheet name="3.CAGED" sheetId="3" state="visible" r:id="rId4"/>
    <sheet name="4.BDI" sheetId="4" state="visible" r:id="rId5"/>
    <sheet name="5. Depreciação" sheetId="5" state="visible" r:id="rId6"/>
    <sheet name="6.Remuneração de capital" sheetId="6" state="visible" r:id="rId7"/>
    <sheet name="7. Dimensionamento" sheetId="7" state="visible" r:id="rId8"/>
  </sheets>
  <definedNames>
    <definedName function="false" hidden="false" localSheetId="0" name="_xlnm.Print_Area" vbProcedure="false">'1. Coleta Domiciliar'!$A$1:$G$259</definedName>
    <definedName function="false" hidden="false" localSheetId="0" name="_xlnm.Print_Titles" vbProcedure="false">'1. Coleta Domiciliar'!$1:$1</definedName>
    <definedName function="false" hidden="false" localSheetId="1" name="_xlnm.Print_Area" vbProcedure="false">'2.Encargos Sociais'!$A$1:$C$39</definedName>
    <definedName function="false" hidden="false" name="AbaDeprec" vbProcedure="false">'5. Depreciação'!$A$1</definedName>
    <definedName function="false" hidden="false" name="AbaRemun" vbProcedure="false">'6.Remuneração de capital'!$A$1</definedName>
    <definedName function="false" hidden="false" localSheetId="0" name="_xlnm.Print_Area" vbProcedure="false">'1. Coleta Domiciliar'!$A$1:$G$252</definedName>
    <definedName function="false" hidden="false" localSheetId="0" name="_xlnm.Print_Area_0_0" vbProcedure="false">'1. Coleta Domiciliar'!$A$1:$F$252</definedName>
    <definedName function="false" hidden="false" localSheetId="0" name="_xlnm.Print_Titles_0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46" authorId="0">
      <text>
        <r>
          <rPr>
            <sz val="10"/>
            <rFont val="Arial"/>
            <family val="0"/>
            <charset val="1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A61" authorId="0">
      <text>
        <r>
          <rPr>
            <sz val="10"/>
            <rFont val="Arial"/>
            <family val="0"/>
            <charset val="1"/>
          </rPr>
          <t xml:space="preserve">Cálculo do descanso semanal remunerado incidente sobre as horas extras habitualmente prestadas. Considerada a média de 63 feriados + domingos e 302 dias trabalhados por ano
</t>
        </r>
      </text>
    </comment>
    <comment ref="A218" authorId="0">
      <text>
        <r>
          <rPr>
            <sz val="10"/>
            <rFont val="Arial"/>
            <family val="0"/>
            <charset val="1"/>
          </rPr>
          <t xml:space="preserve">Especificar somente quando for exigido no Projeto Básico
</t>
        </r>
      </text>
    </comment>
    <comment ref="B37" authorId="0">
      <text>
        <r>
          <rPr>
            <sz val="10"/>
            <rFont val="Arial"/>
            <family val="0"/>
            <charset val="1"/>
          </rPr>
          <t xml:space="preserve">Informar o fator de utilização das equipes de coleta. 
Por exemplo:
Equipes com utilização integral = 100%
Equipes com utilização parcial = n° horas trabalhadas por semana /44 horas
</t>
        </r>
      </text>
    </comment>
    <comment ref="B172" authorId="0">
      <text>
        <r>
          <rPr>
            <sz val="10"/>
            <rFont val="Arial"/>
            <family val="0"/>
            <charset val="1"/>
          </rPr>
          <t xml:space="preserve">Informar a quilometragem mensal percorrida, de acordo com o projeto básico
</t>
        </r>
      </text>
    </comment>
    <comment ref="C44" authorId="0">
      <text>
        <r>
          <rPr>
            <sz val="10"/>
            <rFont val="Arial"/>
            <family val="0"/>
            <charset val="1"/>
          </rPr>
          <t xml:space="preserve">Informar o número de horas extras trabalhadas nos domingos e feriados em horário diurno
</t>
        </r>
      </text>
    </comment>
    <comment ref="C45" authorId="0">
      <text>
        <r>
          <rPr>
            <sz val="10"/>
            <rFont val="Arial"/>
            <family val="0"/>
            <charset val="1"/>
          </rPr>
          <t xml:space="preserve">Informar o número de horas extras trabalhadas em horário diurno de segunda a sábado 
</t>
        </r>
      </text>
    </comment>
    <comment ref="C49" authorId="0">
      <text>
        <r>
          <rPr>
            <sz val="10"/>
            <rFont val="Arial"/>
            <family val="0"/>
            <charset val="1"/>
          </rPr>
          <t xml:space="preserve">Preencher a planilha Encargos Sociais e CAGED </t>
        </r>
      </text>
    </comment>
    <comment ref="C51" authorId="0">
      <text>
        <r>
          <rPr>
            <sz val="10"/>
            <rFont val="Arial"/>
            <family val="0"/>
            <charset val="1"/>
          </rPr>
          <t xml:space="preserve">Informar a quantidade de trabalhadores na função</t>
        </r>
      </text>
    </comment>
    <comment ref="C59" authorId="0">
      <text>
        <r>
          <rPr>
            <sz val="10"/>
            <rFont val="Arial"/>
            <family val="0"/>
            <charset val="1"/>
          </rPr>
          <t xml:space="preserve">Informar o número de horas extras trabalhadas em horário diurno nos domingos e feriados</t>
        </r>
      </text>
    </comment>
    <comment ref="C60" authorId="0">
      <text>
        <r>
          <rPr>
            <sz val="10"/>
            <rFont val="Arial"/>
            <family val="0"/>
            <charset val="1"/>
          </rPr>
          <t xml:space="preserve">Informar o número de horas extras trabalhadas em horário diurno de segunda a sábado 
</t>
        </r>
      </text>
    </comment>
    <comment ref="C62" authorId="0">
      <text>
        <r>
          <rPr>
            <sz val="10"/>
            <rFont val="Arial"/>
            <family val="0"/>
            <charset val="1"/>
          </rPr>
          <t xml:space="preserve">Informar 1 se a base de cálculo for o Salário Mínimo Nacional; Informar 2 se a base de cálculo for o Piso da Categoria; 
</t>
        </r>
      </text>
    </comment>
    <comment ref="C63" authorId="0">
      <text>
        <r>
          <rPr>
            <sz val="10"/>
            <rFont val="Arial"/>
            <family val="0"/>
            <charset val="1"/>
          </rPr>
          <t xml:space="preserve">Percentual estabelecido nas Normas de Segurança de Trabalho ou pelo laudo de responsável técnico devidamente habilitado</t>
        </r>
      </text>
    </comment>
    <comment ref="C65" authorId="0">
      <text>
        <r>
          <rPr>
            <sz val="10"/>
            <rFont val="Arial"/>
            <family val="0"/>
            <charset val="1"/>
          </rPr>
          <t xml:space="preserve">Preencher a planilha Encargos Sociais e CAGED </t>
        </r>
      </text>
    </comment>
    <comment ref="C67" authorId="0">
      <text>
        <r>
          <rPr>
            <sz val="10"/>
            <rFont val="Arial"/>
            <family val="0"/>
            <charset val="1"/>
          </rPr>
          <t xml:space="preserve">Informar a quantidade de trabalhadores na função</t>
        </r>
      </text>
    </comment>
    <comment ref="C74" authorId="0">
      <text>
        <r>
          <rPr>
            <sz val="10"/>
            <rFont val="Arial"/>
            <family val="0"/>
            <charset val="1"/>
          </rPr>
          <t xml:space="preserve">Informar o número médio de dias trabalhados por mês</t>
        </r>
      </text>
    </comment>
    <comment ref="C97" authorId="0">
      <text>
        <r>
          <rPr>
            <sz val="10"/>
            <rFont val="Arial"/>
            <family val="0"/>
            <charset val="1"/>
          </rPr>
          <t xml:space="preserve">Informar a durabilidade estimada em meses, para cada EPI
</t>
        </r>
      </text>
    </comment>
    <comment ref="C98" authorId="0">
      <text>
        <r>
          <rPr>
            <sz val="10"/>
            <rFont val="Arial"/>
            <family val="0"/>
            <charset val="1"/>
          </rPr>
          <t xml:space="preserve">Informar a durabilidade estimada em meses, para cada EPI
</t>
        </r>
      </text>
    </comment>
    <comment ref="C99" authorId="0">
      <text>
        <r>
          <rPr>
            <sz val="10"/>
            <rFont val="Arial"/>
            <family val="0"/>
            <charset val="1"/>
          </rPr>
          <t xml:space="preserve">Informar a durabilidade estimada em meses, para cada EPI
</t>
        </r>
      </text>
    </comment>
    <comment ref="C100" authorId="0">
      <text>
        <r>
          <rPr>
            <sz val="10"/>
            <rFont val="Arial"/>
            <family val="0"/>
            <charset val="1"/>
          </rPr>
          <t xml:space="preserve">Informar a durabilidade estimada em meses, para cada EPI
</t>
        </r>
      </text>
    </comment>
    <comment ref="C101" authorId="0">
      <text>
        <r>
          <rPr>
            <sz val="10"/>
            <rFont val="Arial"/>
            <family val="0"/>
            <charset val="1"/>
          </rPr>
          <t xml:space="preserve">Informar a durabilidade estimada em meses, para cada EPI
</t>
        </r>
      </text>
    </comment>
    <comment ref="C102" authorId="0">
      <text>
        <r>
          <rPr>
            <sz val="10"/>
            <rFont val="Arial"/>
            <family val="0"/>
            <charset val="1"/>
          </rPr>
          <t xml:space="preserve">Informar a durabilidade estimada em meses, para cada EPI
</t>
        </r>
      </text>
    </comment>
    <comment ref="C103" authorId="0">
      <text>
        <r>
          <rPr>
            <sz val="10"/>
            <rFont val="Arial"/>
            <family val="0"/>
            <charset val="1"/>
          </rPr>
          <t xml:space="preserve">Informar a durabilidade estimada em meses, para cada EPI
</t>
        </r>
      </text>
    </comment>
    <comment ref="C104" authorId="0">
      <text>
        <r>
          <rPr>
            <sz val="10"/>
            <rFont val="Arial"/>
            <family val="0"/>
            <charset val="1"/>
          </rPr>
          <t xml:space="preserve">Informar a durabilidade estimada em meses, para cada EPI
</t>
        </r>
      </text>
    </comment>
    <comment ref="C105" authorId="0">
      <text>
        <r>
          <rPr>
            <sz val="10"/>
            <rFont val="Arial"/>
            <family val="0"/>
            <charset val="1"/>
          </rPr>
          <t xml:space="preserve">Informar a durabilidade estimada em meses, para cada EPI
</t>
        </r>
      </text>
    </comment>
    <comment ref="C106" authorId="0">
      <text>
        <r>
          <rPr>
            <sz val="10"/>
            <rFont val="Arial"/>
            <family val="0"/>
            <charset val="1"/>
          </rPr>
          <t xml:space="preserve">Informar a durabilidade estimada em meses, para cada EPI
</t>
        </r>
      </text>
    </comment>
    <comment ref="C114" authorId="0">
      <text>
        <r>
          <rPr>
            <sz val="10"/>
            <rFont val="Arial"/>
            <family val="0"/>
            <charset val="1"/>
          </rPr>
          <t xml:space="preserve">Informar a durabilidade estimada em meses, para cada EPI
</t>
        </r>
      </text>
    </comment>
    <comment ref="C115" authorId="0">
      <text>
        <r>
          <rPr>
            <sz val="10"/>
            <rFont val="Arial"/>
            <family val="0"/>
            <charset val="1"/>
          </rPr>
          <t xml:space="preserve">Informar a durabilidade estimada em meses, para cada EPI
</t>
        </r>
      </text>
    </comment>
    <comment ref="C116" authorId="0">
      <text>
        <r>
          <rPr>
            <sz val="10"/>
            <rFont val="Arial"/>
            <family val="0"/>
            <charset val="1"/>
          </rPr>
          <t xml:space="preserve">Informar a durabilidade estimada em meses, para cada EPI
</t>
        </r>
      </text>
    </comment>
    <comment ref="C117" authorId="0">
      <text>
        <r>
          <rPr>
            <sz val="10"/>
            <rFont val="Arial"/>
            <family val="0"/>
            <charset val="1"/>
          </rPr>
          <t xml:space="preserve">Informar a durabilidade estimada em meses, para cada EPI
</t>
        </r>
      </text>
    </comment>
    <comment ref="C118" authorId="0">
      <text>
        <r>
          <rPr>
            <sz val="10"/>
            <rFont val="Arial"/>
            <family val="0"/>
            <charset val="1"/>
          </rPr>
          <t xml:space="preserve">Informar a durabilidade estimada em meses, para cada EPI
</t>
        </r>
      </text>
    </comment>
    <comment ref="C119" authorId="0">
      <text>
        <r>
          <rPr>
            <sz val="10"/>
            <rFont val="Arial"/>
            <family val="0"/>
            <charset val="1"/>
          </rPr>
          <t xml:space="preserve">Informar a durabilidade estimada em meses, para cada EPI
</t>
        </r>
      </text>
    </comment>
    <comment ref="C133" authorId="0">
      <text>
        <r>
          <rPr>
            <sz val="10"/>
            <rFont val="Arial"/>
            <family val="0"/>
            <charset val="1"/>
          </rPr>
          <t xml:space="preserve">Informar a vida útil estimada para o caminhão, em anos</t>
        </r>
      </text>
    </comment>
    <comment ref="C134" authorId="0">
      <text>
        <r>
          <rPr>
            <sz val="10"/>
            <rFont val="Arial"/>
            <family val="0"/>
            <charset val="1"/>
          </rPr>
          <t xml:space="preserve">Na elaboração do orçamento-base da licitação, informar 0 (zero). Na proposta da licitante, informar a idade do veículo proposto.</t>
        </r>
      </text>
    </comment>
    <comment ref="C135" authorId="0">
      <text>
        <r>
          <rPr>
            <sz val="10"/>
            <rFont val="Arial"/>
            <family val="0"/>
            <charset val="1"/>
          </rPr>
          <t xml:space="preserve">Informar o valor da depreciação do caminhão, adotando o valor sugerido pelo TCE ou outro valor estimado 
</t>
        </r>
      </text>
    </comment>
    <comment ref="C138" authorId="0">
      <text>
        <r>
          <rPr>
            <sz val="10"/>
            <rFont val="Arial"/>
            <family val="0"/>
            <charset val="1"/>
          </rPr>
          <t xml:space="preserve">Informar a vida útil estimada para o compactador, em anos</t>
        </r>
      </text>
    </comment>
    <comment ref="C139" authorId="0">
      <text>
        <r>
          <rPr>
            <sz val="10"/>
            <rFont val="Arial"/>
            <family val="0"/>
            <charset val="1"/>
          </rPr>
          <t xml:space="preserve">Na elaboração do orçamento-base da licitação, informar 0 (zero). Na proposta da licitante, informar a idade do compactador proposto.</t>
        </r>
      </text>
    </comment>
    <comment ref="C140" authorId="0">
      <text>
        <r>
          <rPr>
            <sz val="10"/>
            <rFont val="Arial"/>
            <family val="0"/>
            <charset val="1"/>
          </rPr>
          <t xml:space="preserve">Informar o valor da depreciação do compactador, adotando o valor sugerido pelo TCE ou outro valor estimado 
</t>
        </r>
      </text>
    </comment>
    <comment ref="C143" authorId="0">
      <text>
        <r>
          <rPr>
            <sz val="10"/>
            <rFont val="Arial"/>
            <family val="0"/>
            <charset val="1"/>
          </rPr>
          <t xml:space="preserve">Informar a quantidade de caminhões compactadores do respectivo modelo</t>
        </r>
      </text>
    </comment>
    <comment ref="C149" authorId="0">
      <text>
        <r>
          <rPr>
            <sz val="10"/>
            <rFont val="Arial"/>
            <family val="0"/>
            <charset val="1"/>
          </rPr>
          <t xml:space="preserve">Informar a taxa de juros anual para remuneração do capital. Recomenda-se o uso da Taxa SELIC
</t>
        </r>
      </text>
    </comment>
    <comment ref="C175" authorId="0">
      <text>
        <r>
          <rPr>
            <sz val="10"/>
            <rFont val="Arial"/>
            <family val="0"/>
            <charset val="1"/>
          </rPr>
          <t xml:space="preserve">Informar o consumo estimado do veículo em km/l</t>
        </r>
      </text>
    </comment>
    <comment ref="C177" authorId="0">
      <text>
        <r>
          <rPr>
            <sz val="10"/>
            <rFont val="Arial"/>
            <family val="0"/>
            <charset val="1"/>
          </rPr>
          <t xml:space="preserve">Informar o consumo de óleo do motor a cada 1000km</t>
        </r>
      </text>
    </comment>
    <comment ref="C179" authorId="0">
      <text>
        <r>
          <rPr>
            <sz val="10"/>
            <rFont val="Arial"/>
            <family val="0"/>
            <charset val="1"/>
          </rPr>
          <t xml:space="preserve">Informar o consumo de óleo da transmissão a cada 1000km</t>
        </r>
      </text>
    </comment>
    <comment ref="C181" authorId="0">
      <text>
        <r>
          <rPr>
            <sz val="10"/>
            <rFont val="Arial"/>
            <family val="0"/>
            <charset val="1"/>
          </rPr>
          <t xml:space="preserve">Informar o consumo de óleo hidráulico a cada 1000km</t>
        </r>
      </text>
    </comment>
    <comment ref="C183" authorId="0">
      <text>
        <r>
          <rPr>
            <sz val="10"/>
            <rFont val="Arial"/>
            <family val="0"/>
            <charset val="1"/>
          </rPr>
          <t xml:space="preserve">Informar o consumo de graxa a cada 1000km</t>
        </r>
      </text>
    </comment>
    <comment ref="C197" authorId="0">
      <text>
        <r>
          <rPr>
            <sz val="10"/>
            <rFont val="Arial"/>
            <family val="0"/>
            <charset val="1"/>
          </rPr>
          <t xml:space="preserve">Informar a quantidade de pneus novos de 1 caminhão</t>
        </r>
      </text>
    </comment>
    <comment ref="C198" authorId="0">
      <text>
        <r>
          <rPr>
            <sz val="10"/>
            <rFont val="Arial"/>
            <family val="0"/>
            <charset val="1"/>
          </rPr>
          <t xml:space="preserve">Informar o número de recapagens por pneu</t>
        </r>
      </text>
    </comment>
    <comment ref="C200" authorId="0">
      <text>
        <r>
          <rPr>
            <sz val="10"/>
            <rFont val="Arial"/>
            <family val="0"/>
            <charset val="1"/>
          </rPr>
          <t xml:space="preserve">Informar a durabilidade média dos pneus considerando todas as recapagens, em km
</t>
        </r>
      </text>
    </comment>
    <comment ref="C210" authorId="0">
      <text>
        <r>
          <rPr>
            <sz val="10"/>
            <rFont val="Arial"/>
            <family val="0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C211" authorId="0">
      <text>
        <r>
          <rPr>
            <sz val="10"/>
            <rFont val="Arial"/>
            <family val="0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C212" authorId="0">
      <text>
        <r>
          <rPr>
            <sz val="10"/>
            <rFont val="Arial"/>
            <family val="0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C213" authorId="0">
      <text>
        <r>
          <rPr>
            <sz val="10"/>
            <rFont val="Arial"/>
            <family val="0"/>
            <charset val="1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43" authorId="0">
      <text>
        <r>
          <rPr>
            <sz val="10"/>
            <rFont val="Arial"/>
            <family val="0"/>
            <charset val="1"/>
          </rPr>
          <t xml:space="preserve">Informar o Piso da categoria fixado na Convenção Coletiva</t>
        </r>
      </text>
    </comment>
    <comment ref="D57" authorId="0">
      <text>
        <r>
          <rPr>
            <sz val="10"/>
            <rFont val="Arial"/>
            <family val="0"/>
            <charset val="1"/>
          </rPr>
          <t xml:space="preserve">Informar o Piso da categoria fixado na Convenção Coletiva</t>
        </r>
      </text>
    </comment>
    <comment ref="D58" authorId="0">
      <text>
        <r>
          <rPr>
            <sz val="10"/>
            <rFont val="Arial"/>
            <family val="0"/>
            <charset val="1"/>
          </rPr>
          <t xml:space="preserve">Informar o valor do salário Mínimo Nacional</t>
        </r>
      </text>
    </comment>
    <comment ref="D73" authorId="0">
      <text>
        <r>
          <rPr>
            <sz val="10"/>
            <rFont val="Arial"/>
            <family val="0"/>
            <charset val="1"/>
          </rPr>
          <t xml:space="preserve">Informar o valor unitário do VT no município</t>
        </r>
      </text>
    </comment>
    <comment ref="D75" authorId="0">
      <text>
        <r>
          <rPr>
            <sz val="10"/>
            <rFont val="Arial"/>
            <family val="0"/>
            <charset val="1"/>
          </rPr>
          <t xml:space="preserve">Valor Unitário considerando o desconto legal de até 6% do salário</t>
        </r>
      </text>
    </comment>
    <comment ref="D76" authorId="0">
      <text>
        <r>
          <rPr>
            <sz val="10"/>
            <rFont val="Arial"/>
            <family val="0"/>
            <charset val="1"/>
          </rPr>
          <t xml:space="preserve">Valor Unitário considerando o desconto legal de até 6% do salário
</t>
        </r>
      </text>
    </comment>
    <comment ref="D81" authorId="0">
      <text>
        <r>
          <rPr>
            <sz val="10"/>
            <rFont val="Arial"/>
            <family val="0"/>
            <charset val="1"/>
          </rPr>
          <t xml:space="preserve">Informar o valor unitário diário do vale refeição, considerando o desconto aplicável ao funcionário, conforme Convenção Coletiva da categoria.</t>
        </r>
      </text>
    </comment>
    <comment ref="D82" authorId="0">
      <text>
        <r>
          <rPr>
            <sz val="10"/>
            <rFont val="Arial"/>
            <family val="0"/>
            <charset val="1"/>
          </rPr>
          <t xml:space="preserve">Informar o valor unitário diário do vale refeição, considerando o desconto aplicável ao funcionário, conforme Convenção Coletiva da categoria.</t>
        </r>
      </text>
    </comment>
    <comment ref="D87" authorId="0">
      <text>
        <r>
          <rPr>
            <sz val="10"/>
            <rFont val="Arial"/>
            <family val="0"/>
            <charset val="1"/>
          </rPr>
          <t xml:space="preserve">Informar o valor mensal do auxilio alimentação, considerando o desconto aplicável ao funcionário, conforme Convenção Coletiva da categoria</t>
        </r>
      </text>
    </comment>
    <comment ref="D97" authorId="0">
      <text>
        <r>
          <rPr>
            <sz val="10"/>
            <rFont val="Arial"/>
            <family val="0"/>
            <charset val="1"/>
          </rPr>
          <t xml:space="preserve">Informar o valor unitário estimado para aquisição de cada EPI</t>
        </r>
      </text>
    </comment>
    <comment ref="D98" authorId="0">
      <text>
        <r>
          <rPr>
            <sz val="10"/>
            <rFont val="Arial"/>
            <family val="0"/>
            <charset val="1"/>
          </rPr>
          <t xml:space="preserve">Informar o valor unitário estimado para aquisição de cada EPI</t>
        </r>
      </text>
    </comment>
    <comment ref="D99" authorId="0">
      <text>
        <r>
          <rPr>
            <sz val="10"/>
            <rFont val="Arial"/>
            <family val="0"/>
            <charset val="1"/>
          </rPr>
          <t xml:space="preserve">Informar o valor unitário estimado para aquisição de cada EPI</t>
        </r>
      </text>
    </comment>
    <comment ref="D100" authorId="0">
      <text>
        <r>
          <rPr>
            <sz val="10"/>
            <rFont val="Arial"/>
            <family val="0"/>
            <charset val="1"/>
          </rPr>
          <t xml:space="preserve">Informar o valor unitário estimado para aquisição de cada EPI</t>
        </r>
      </text>
    </comment>
    <comment ref="D101" authorId="0">
      <text>
        <r>
          <rPr>
            <sz val="10"/>
            <rFont val="Arial"/>
            <family val="0"/>
            <charset val="1"/>
          </rPr>
          <t xml:space="preserve">Informar o valor unitário estimado para aquisição de cada EPI</t>
        </r>
      </text>
    </comment>
    <comment ref="D102" authorId="0">
      <text>
        <r>
          <rPr>
            <sz val="10"/>
            <rFont val="Arial"/>
            <family val="0"/>
            <charset val="1"/>
          </rPr>
          <t xml:space="preserve">Informar o valor unitário estimado para aquisição de cada EPI</t>
        </r>
      </text>
    </comment>
    <comment ref="D103" authorId="0">
      <text>
        <r>
          <rPr>
            <sz val="10"/>
            <rFont val="Arial"/>
            <family val="0"/>
            <charset val="1"/>
          </rPr>
          <t xml:space="preserve">Informar o valor unitário estimado para aquisição de cada EPI</t>
        </r>
      </text>
    </comment>
    <comment ref="D104" authorId="0">
      <text>
        <r>
          <rPr>
            <sz val="10"/>
            <rFont val="Arial"/>
            <family val="0"/>
            <charset val="1"/>
          </rPr>
          <t xml:space="preserve">Informar o valor unitário estimado para aquisição de cada EPI</t>
        </r>
      </text>
    </comment>
    <comment ref="D105" authorId="0">
      <text>
        <r>
          <rPr>
            <sz val="10"/>
            <rFont val="Arial"/>
            <family val="0"/>
            <charset val="1"/>
          </rPr>
          <t xml:space="preserve">Informar o valor unitário estimado para aquisição de cada EPI</t>
        </r>
      </text>
    </comment>
    <comment ref="D106" authorId="0">
      <text>
        <r>
          <rPr>
            <sz val="10"/>
            <rFont val="Arial"/>
            <family val="0"/>
            <charset val="1"/>
          </rPr>
          <t xml:space="preserve">Informar o valor unitário estimado para aquisição de cada EPI</t>
        </r>
      </text>
    </comment>
    <comment ref="D107" authorId="0">
      <text>
        <r>
          <rPr>
            <sz val="10"/>
            <rFont val="Arial"/>
            <family val="0"/>
            <charset val="1"/>
          </rPr>
          <t xml:space="preserve">Informar o valor mensal de higienização de uniforme para 1 funcionário</t>
        </r>
      </text>
    </comment>
    <comment ref="D120" authorId="0">
      <text>
        <r>
          <rPr>
            <sz val="10"/>
            <rFont val="Arial"/>
            <family val="0"/>
            <charset val="1"/>
          </rPr>
          <t xml:space="preserve">Informar o valor mensal de higienização de uniforme para 1 funcionário</t>
        </r>
      </text>
    </comment>
    <comment ref="D132" authorId="0">
      <text>
        <r>
          <rPr>
            <sz val="10"/>
            <rFont val="Arial"/>
            <family val="0"/>
            <charset val="1"/>
          </rPr>
          <t xml:space="preserve">Informar o preço unitário do chassis do caminhão de coleta</t>
        </r>
      </text>
    </comment>
    <comment ref="D137" authorId="0">
      <text>
        <r>
          <rPr>
            <sz val="10"/>
            <rFont val="Arial"/>
            <family val="0"/>
            <charset val="1"/>
          </rPr>
          <t xml:space="preserve">Informar o preço unitário do equipamento compactador
</t>
        </r>
      </text>
    </comment>
    <comment ref="D165" authorId="0">
      <text>
        <r>
          <rPr>
            <sz val="10"/>
            <rFont val="Arial"/>
            <family val="0"/>
            <charset val="1"/>
          </rPr>
          <t xml:space="preserve">Informar o valor do seguro obrigatório e licenciamento anual de um caminhão
</t>
        </r>
      </text>
    </comment>
    <comment ref="D166" authorId="0">
      <text>
        <r>
          <rPr>
            <sz val="10"/>
            <rFont val="Arial"/>
            <family val="0"/>
            <charset val="1"/>
          </rPr>
          <t xml:space="preserve">Informar o valor do seguro contra terceiros de um caminhão, se houver previsão no Projeto Básico
</t>
        </r>
      </text>
    </comment>
    <comment ref="D175" authorId="0">
      <text>
        <r>
          <rPr>
            <sz val="10"/>
            <rFont val="Arial"/>
            <family val="0"/>
            <charset val="1"/>
          </rPr>
          <t xml:space="preserve">Informar o preço unitário do combustivel
</t>
        </r>
      </text>
    </comment>
    <comment ref="D177" authorId="0">
      <text>
        <r>
          <rPr>
            <sz val="10"/>
            <rFont val="Arial"/>
            <family val="0"/>
            <charset val="1"/>
          </rPr>
          <t xml:space="preserve">Informar o preço unitário do litro do óleo do motor
</t>
        </r>
      </text>
    </comment>
    <comment ref="D179" authorId="0">
      <text>
        <r>
          <rPr>
            <sz val="10"/>
            <rFont val="Arial"/>
            <family val="0"/>
            <charset val="1"/>
          </rPr>
          <t xml:space="preserve">Informar o preço unitário do litro do óleo da transmissão
</t>
        </r>
      </text>
    </comment>
    <comment ref="D181" authorId="0">
      <text>
        <r>
          <rPr>
            <sz val="10"/>
            <rFont val="Arial"/>
            <family val="0"/>
            <charset val="1"/>
          </rPr>
          <t xml:space="preserve">Informar o preço unitário do litro do óleo hidráulico
</t>
        </r>
      </text>
    </comment>
    <comment ref="D183" authorId="0">
      <text>
        <r>
          <rPr>
            <sz val="10"/>
            <rFont val="Arial"/>
            <family val="0"/>
            <charset val="1"/>
          </rPr>
          <t xml:space="preserve">Informar o preço unitário do litro da graxa
</t>
        </r>
      </text>
    </comment>
    <comment ref="D192" authorId="0">
      <text>
        <r>
          <rPr>
            <sz val="10"/>
            <rFont val="Arial"/>
            <family val="0"/>
            <charset val="1"/>
          </rPr>
          <t xml:space="preserve">Informar o custo de manutenção em R$/km rodado
</t>
        </r>
      </text>
    </comment>
    <comment ref="D197" authorId="0">
      <text>
        <r>
          <rPr>
            <sz val="10"/>
            <rFont val="Arial"/>
            <family val="0"/>
            <charset val="1"/>
          </rPr>
          <t xml:space="preserve">Informar o preço unitário de cada pneu
</t>
        </r>
      </text>
    </comment>
    <comment ref="D199" authorId="0">
      <text>
        <r>
          <rPr>
            <sz val="10"/>
            <rFont val="Arial"/>
            <family val="0"/>
            <charset val="1"/>
          </rPr>
          <t xml:space="preserve">Informar o preço unitário de cada recapagem
</t>
        </r>
      </text>
    </comment>
    <comment ref="D210" authorId="0">
      <text>
        <r>
          <rPr>
            <sz val="10"/>
            <rFont val="Arial"/>
            <family val="0"/>
            <charset val="1"/>
          </rPr>
          <t xml:space="preserve">Informar o valor unitário estimado para aquisição de cada material</t>
        </r>
      </text>
    </comment>
    <comment ref="D211" authorId="0">
      <text>
        <r>
          <rPr>
            <sz val="10"/>
            <rFont val="Arial"/>
            <family val="0"/>
            <charset val="1"/>
          </rPr>
          <t xml:space="preserve">Informar o valor unitário estimado para aquisição de cada material</t>
        </r>
      </text>
    </comment>
    <comment ref="D212" authorId="0">
      <text>
        <r>
          <rPr>
            <sz val="10"/>
            <rFont val="Arial"/>
            <family val="0"/>
            <charset val="1"/>
          </rPr>
          <t xml:space="preserve">Informar o valor unitário estimado para aquisição de cada material</t>
        </r>
      </text>
    </comment>
    <comment ref="D213" authorId="0">
      <text>
        <r>
          <rPr>
            <sz val="10"/>
            <rFont val="Arial"/>
            <family val="0"/>
            <charset val="1"/>
          </rPr>
          <t xml:space="preserve">Informar o valor unitário estimado para aquisição de cada material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12" authorId="0">
      <text>
        <r>
          <rPr>
            <sz val="10"/>
            <rFont val="Arial"/>
            <family val="0"/>
            <charset val="1"/>
          </rPr>
          <t xml:space="preserve">Informar o % de Administração Central estimado
</t>
        </r>
      </text>
    </comment>
    <comment ref="C13" authorId="0">
      <text>
        <r>
          <rPr>
            <sz val="10"/>
            <rFont val="Arial"/>
            <family val="0"/>
            <charset val="1"/>
          </rPr>
          <t xml:space="preserve">Informar o % de Seguros, Riscos e Garantia estimado
</t>
        </r>
      </text>
    </comment>
    <comment ref="C14" authorId="0">
      <text>
        <r>
          <rPr>
            <sz val="10"/>
            <rFont val="Arial"/>
            <family val="0"/>
            <charset val="1"/>
          </rPr>
          <t xml:space="preserve">Informar o % de Lucro estimado
</t>
        </r>
      </text>
    </comment>
    <comment ref="C16" authorId="0">
      <text>
        <r>
          <rPr>
            <sz val="10"/>
            <rFont val="Arial"/>
            <family val="0"/>
            <charset val="1"/>
          </rPr>
          <t xml:space="preserve">Informar o percentual de ISS, de acordo com a legislação tributária do município onde serão prestados os serviços. De 2% até o limite de 5%.
</t>
        </r>
      </text>
    </comment>
    <comment ref="C17" authorId="0">
      <text>
        <r>
          <rPr>
            <sz val="10"/>
            <rFont val="Arial"/>
            <family val="0"/>
            <charset val="1"/>
          </rPr>
          <t xml:space="preserve">Informar o valor estimado de PIS/COFINS. 
</t>
        </r>
        <r>
          <rPr>
            <sz val="9"/>
            <color rgb="FF000000"/>
            <rFont val="Tahoma"/>
            <family val="2"/>
            <charset val="1"/>
          </rPr>
          <t xml:space="preserve">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  <comment ref="E15" authorId="0">
      <text>
        <r>
          <rPr>
            <sz val="10"/>
            <rFont val="Arial"/>
            <family val="0"/>
            <charset val="1"/>
          </rPr>
          <t xml:space="preserve">Informar o valor anual da taxa financeira, em percentual. Admite-se utilizar a SELIC</t>
        </r>
      </text>
    </comment>
    <comment ref="E16" authorId="0">
      <text>
        <r>
          <rPr>
            <sz val="10"/>
            <rFont val="Arial"/>
            <family val="0"/>
            <charset val="1"/>
          </rPr>
          <t xml:space="preserve">Informar a média de dias úteis entre data de pagamento prevista no contrato e a data final do período de adimplemento da parcela
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12" authorId="0">
      <text>
        <r>
          <rPr>
            <sz val="10"/>
            <rFont val="Arial"/>
            <family val="0"/>
            <charset val="1"/>
          </rPr>
          <t xml:space="preserve">Informar a população do município a ser atendida</t>
        </r>
      </text>
    </comment>
    <comment ref="C13" authorId="0">
      <text>
        <r>
          <rPr>
            <sz val="10"/>
            <rFont val="Arial"/>
            <family val="0"/>
            <charset val="1"/>
          </rPr>
          <t xml:space="preserve">Caso o município possua informações de pesagem, ajustar com o valor da geração média per capita realizada nos últimos 12 meses</t>
        </r>
      </text>
    </comment>
    <comment ref="C14" authorId="0">
      <text>
        <r>
          <rPr>
            <sz val="10"/>
            <rFont val="Arial"/>
            <family val="0"/>
            <charset val="1"/>
          </rPr>
          <t xml:space="preserve">retorna a geração diária a ser recolhida</t>
        </r>
      </text>
    </comment>
    <comment ref="C16" authorId="0">
      <text>
        <r>
          <rPr>
            <sz val="10"/>
            <rFont val="Arial"/>
            <family val="0"/>
            <charset val="1"/>
          </rPr>
          <t xml:space="preserve">Informe o número de dias de coleta por semana</t>
        </r>
      </text>
    </comment>
    <comment ref="C19" authorId="0">
      <text>
        <r>
          <rPr>
            <sz val="10"/>
            <rFont val="Arial"/>
            <family val="0"/>
            <charset val="1"/>
          </rPr>
          <t xml:space="preserve">Informar 1 para caminhão toco; Informar 2 para caminhão truck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 </t>
        </r>
      </text>
    </comment>
    <comment ref="C20" authorId="0">
      <text>
        <r>
          <rPr>
            <sz val="10"/>
            <rFont val="Arial"/>
            <family val="0"/>
            <charset val="1"/>
          </rPr>
          <t xml:space="preserve">Informar a capacidade do compactador em m³</t>
        </r>
      </text>
    </comment>
    <comment ref="C23" authorId="0">
      <text>
        <r>
          <rPr>
            <sz val="10"/>
            <rFont val="Arial"/>
            <family val="0"/>
            <charset val="1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<sst xmlns="http://schemas.openxmlformats.org/spreadsheetml/2006/main" count="535" uniqueCount="322">
  <si>
    <t xml:space="preserve">1. Coleta de Resíduos Sólidos </t>
  </si>
  <si>
    <t xml:space="preserve">Planilha de Composição de Custos</t>
  </si>
  <si>
    <t xml:space="preserve">Custo com BDI</t>
  </si>
  <si>
    <t xml:space="preserve">Descrição do Item</t>
  </si>
  <si>
    <t xml:space="preserve">Custo (R$/mês)</t>
  </si>
  <si>
    <t xml:space="preserve">%</t>
  </si>
  <si>
    <t xml:space="preserve">PREÇO TOTAL MENSAL COM A COLETA</t>
  </si>
  <si>
    <t xml:space="preserve">Quantitativos</t>
  </si>
  <si>
    <t xml:space="preserve">Mão-de-obra</t>
  </si>
  <si>
    <t xml:space="preserve">Quantidade</t>
  </si>
  <si>
    <t xml:space="preserve">Total de mão-de-obra (postos de trabalho)</t>
  </si>
  <si>
    <t xml:space="preserve">Veículos e Equipamentos</t>
  </si>
  <si>
    <t xml:space="preserve">Fator de utilização (FU)</t>
  </si>
  <si>
    <t xml:space="preserve">1. Mão-de-obra</t>
  </si>
  <si>
    <t xml:space="preserve">BDI (%)</t>
  </si>
  <si>
    <t xml:space="preserve">1.1. Coletor Turno Dia</t>
  </si>
  <si>
    <t xml:space="preserve">Discriminação</t>
  </si>
  <si>
    <t xml:space="preserve">Unidade</t>
  </si>
  <si>
    <t xml:space="preserve">Custo unitário</t>
  </si>
  <si>
    <t xml:space="preserve">Subtotal</t>
  </si>
  <si>
    <t xml:space="preserve">Total sem BDI</t>
  </si>
  <si>
    <r>
      <rPr>
        <b val="true"/>
        <sz val="9"/>
        <rFont val="Arial"/>
        <family val="2"/>
        <charset val="1"/>
      </rPr>
      <t xml:space="preserve">Total com </t>
    </r>
    <r>
      <rPr>
        <b val="true"/>
        <u val="single"/>
        <sz val="9"/>
        <rFont val="Arial"/>
        <family val="2"/>
        <charset val="1"/>
      </rPr>
      <t xml:space="preserve">BDI</t>
    </r>
  </si>
  <si>
    <t xml:space="preserve">Piso da categoria</t>
  </si>
  <si>
    <t xml:space="preserve">mês</t>
  </si>
  <si>
    <t xml:space="preserve">Horas Extras (100%)</t>
  </si>
  <si>
    <t xml:space="preserve">hora</t>
  </si>
  <si>
    <t xml:space="preserve">Excluir esta linha caso a contratação não tenha previsão de horas extras 100% explícita no edital</t>
  </si>
  <si>
    <t xml:space="preserve">Horas Extras (50%)</t>
  </si>
  <si>
    <t xml:space="preserve">Excluir esta linha caso a contratação não tenha previsão de horas extras 50% explícita no edital</t>
  </si>
  <si>
    <t xml:space="preserve">Descanso Semanal Remunerado (DSR) - hora extra</t>
  </si>
  <si>
    <t xml:space="preserve">R$</t>
  </si>
  <si>
    <t xml:space="preserve">Excluir esta linha caso a contratação não tenha previsão de horas extras explícita no edital</t>
  </si>
  <si>
    <t xml:space="preserve">Adicional de Insalubridade</t>
  </si>
  <si>
    <t xml:space="preserve">Soma</t>
  </si>
  <si>
    <t xml:space="preserve">Encargos Sociais</t>
  </si>
  <si>
    <t xml:space="preserve">Total por Coletor</t>
  </si>
  <si>
    <t xml:space="preserve">Total do Efetivo</t>
  </si>
  <si>
    <t xml:space="preserve">homem</t>
  </si>
  <si>
    <t xml:space="preserve">Fator de utilização</t>
  </si>
  <si>
    <t xml:space="preserve">1.3. Motorista Turno do Dia</t>
  </si>
  <si>
    <r>
      <rPr>
        <b val="true"/>
        <sz val="9"/>
        <rFont val="Arial"/>
        <family val="2"/>
        <charset val="1"/>
      </rPr>
      <t xml:space="preserve">Total </t>
    </r>
    <r>
      <rPr>
        <b val="true"/>
        <u val="single"/>
        <sz val="9"/>
        <rFont val="Arial"/>
        <family val="2"/>
        <charset val="1"/>
      </rPr>
      <t xml:space="preserve">(R$)</t>
    </r>
  </si>
  <si>
    <t xml:space="preserve">Piso da categoria (2)</t>
  </si>
  <si>
    <t xml:space="preserve">Salário mínimo nacional (1)</t>
  </si>
  <si>
    <t xml:space="preserve">Base de cálculo da Insalubridade</t>
  </si>
  <si>
    <t xml:space="preserve">Total por Motorista</t>
  </si>
  <si>
    <t xml:space="preserve">1.5. Vale Transporte</t>
  </si>
  <si>
    <t xml:space="preserve">Vale Transporte</t>
  </si>
  <si>
    <t xml:space="preserve">Dias Trabalhados por mês</t>
  </si>
  <si>
    <t xml:space="preserve">dia</t>
  </si>
  <si>
    <t xml:space="preserve">Coletor</t>
  </si>
  <si>
    <t xml:space="preserve">vale</t>
  </si>
  <si>
    <t xml:space="preserve">Motorista</t>
  </si>
  <si>
    <t xml:space="preserve">1.6. Vale-refeição (diário)</t>
  </si>
  <si>
    <t xml:space="preserve">unidade</t>
  </si>
  <si>
    <t xml:space="preserve">1.7. Auxílio Alimentação (mensal)</t>
  </si>
  <si>
    <t xml:space="preserve">Custo Mensal com Mão-de-obra (R$/mês)</t>
  </si>
  <si>
    <t xml:space="preserve">2. Uniformes e Equipamentos de Proteção Individual</t>
  </si>
  <si>
    <t xml:space="preserve">2.1. Uniformes e EPIs para Coletor</t>
  </si>
  <si>
    <t xml:space="preserve">Durabilidade (meses)</t>
  </si>
  <si>
    <t xml:space="preserve">Jaqueta com reflexivo (NBR 15.292)</t>
  </si>
  <si>
    <t xml:space="preserve">Calça</t>
  </si>
  <si>
    <t xml:space="preserve">Camiseta</t>
  </si>
  <si>
    <t xml:space="preserve">Boné</t>
  </si>
  <si>
    <t xml:space="preserve">Botina de segurança c/ palmilha aço</t>
  </si>
  <si>
    <t xml:space="preserve">par</t>
  </si>
  <si>
    <t xml:space="preserve">Meia de algodão com cano alto</t>
  </si>
  <si>
    <t xml:space="preserve">Capa de chuva amarela com reflexivo</t>
  </si>
  <si>
    <t xml:space="preserve">Colete reflexivo</t>
  </si>
  <si>
    <t xml:space="preserve">Luva de proteção</t>
  </si>
  <si>
    <t xml:space="preserve">Protetor solar FPS 30</t>
  </si>
  <si>
    <t xml:space="preserve">frasco 120g</t>
  </si>
  <si>
    <t xml:space="preserve">Higienização de uniformes e EPIs</t>
  </si>
  <si>
    <t xml:space="preserve">R$ mensal</t>
  </si>
  <si>
    <t xml:space="preserve">2.2. Uniformes e EPIs para demais categorias</t>
  </si>
  <si>
    <t xml:space="preserve">Custo Mensal com Uniformes e EPIs (R$/mês)</t>
  </si>
  <si>
    <t xml:space="preserve">3. Veículos e Equipamentos</t>
  </si>
  <si>
    <r>
      <rPr>
        <sz val="10"/>
        <rFont val="Arial"/>
        <family val="2"/>
        <charset val="1"/>
      </rPr>
      <t xml:space="preserve">3.1. Veículo Coletor Compactador</t>
    </r>
    <r>
      <rPr>
        <sz val="10"/>
        <color rgb="FFFF0000"/>
        <rFont val="Arial"/>
        <family val="2"/>
        <charset val="1"/>
      </rPr>
      <t xml:space="preserve"> 12</t>
    </r>
    <r>
      <rPr>
        <sz val="10"/>
        <rFont val="Arial"/>
        <family val="2"/>
        <charset val="1"/>
      </rPr>
      <t xml:space="preserve"> m³</t>
    </r>
  </si>
  <si>
    <t xml:space="preserve">3.1.1. Depreciação</t>
  </si>
  <si>
    <t xml:space="preserve">Custo de aquisição do chassis</t>
  </si>
  <si>
    <t xml:space="preserve">Vida útil do chassis</t>
  </si>
  <si>
    <t xml:space="preserve">anos</t>
  </si>
  <si>
    <t xml:space="preserve">Idade do veículo</t>
  </si>
  <si>
    <t xml:space="preserve">Depreciação do chassis</t>
  </si>
  <si>
    <t xml:space="preserve">Depreciação mensal veículos coletores</t>
  </si>
  <si>
    <t xml:space="preserve">Custo de aquisição do compactador</t>
  </si>
  <si>
    <t xml:space="preserve">Vida útil do compactador</t>
  </si>
  <si>
    <t xml:space="preserve">Idade do compactador</t>
  </si>
  <si>
    <t xml:space="preserve">Depreciação do compactador</t>
  </si>
  <si>
    <t xml:space="preserve">Depreciação mensal do compactador</t>
  </si>
  <si>
    <t xml:space="preserve">Total por veículo</t>
  </si>
  <si>
    <t xml:space="preserve">Total da frota</t>
  </si>
  <si>
    <t xml:space="preserve">3.1.2. Remuneração do Capital</t>
  </si>
  <si>
    <t xml:space="preserve">Custo do chassis</t>
  </si>
  <si>
    <t xml:space="preserve">Taxa de juros anual nominal</t>
  </si>
  <si>
    <t xml:space="preserve">Valor do veículo proposto (V0)</t>
  </si>
  <si>
    <t xml:space="preserve">Investimento médio total do chassis</t>
  </si>
  <si>
    <t xml:space="preserve">Remuneração mensal de capital do chassis</t>
  </si>
  <si>
    <t xml:space="preserve">Custo do compactador</t>
  </si>
  <si>
    <t xml:space="preserve">Valor do compactador proposto (V0)</t>
  </si>
  <si>
    <t xml:space="preserve">Investimento médio total do compactador</t>
  </si>
  <si>
    <t xml:space="preserve">Remuneração mensal de capital do compactador</t>
  </si>
  <si>
    <t xml:space="preserve">3.1.3. Impostos e Seguros</t>
  </si>
  <si>
    <t xml:space="preserve">IPVA</t>
  </si>
  <si>
    <t xml:space="preserve">Licenciamento e Seguro obrigatório</t>
  </si>
  <si>
    <t xml:space="preserve">Seguro contra terceiros</t>
  </si>
  <si>
    <t xml:space="preserve">Impostos e seguros mensais</t>
  </si>
  <si>
    <t xml:space="preserve">3.1.4. Consumos</t>
  </si>
  <si>
    <t xml:space="preserve">Quilometragem mensal</t>
  </si>
  <si>
    <t xml:space="preserve">Consumo</t>
  </si>
  <si>
    <t xml:space="preserve">Custo de óleo diesel / km rodado</t>
  </si>
  <si>
    <t xml:space="preserve">km/l</t>
  </si>
  <si>
    <t xml:space="preserve">Custo mensal com óleo diesel</t>
  </si>
  <si>
    <t xml:space="preserve">km</t>
  </si>
  <si>
    <t xml:space="preserve">Custo de óleo do motor /1.000 km rodados</t>
  </si>
  <si>
    <t xml:space="preserve">l/1.000 km</t>
  </si>
  <si>
    <t xml:space="preserve">Custo mensal com óleo do motor</t>
  </si>
  <si>
    <t xml:space="preserve">Custo de óleo da transmissão /1.000 km</t>
  </si>
  <si>
    <t xml:space="preserve">Custo mensal com óleo da transmissão</t>
  </si>
  <si>
    <t xml:space="preserve">Custo de óleo hidráulico / 1.000 km</t>
  </si>
  <si>
    <t xml:space="preserve">Custo mensal com óleo hidráulico</t>
  </si>
  <si>
    <t xml:space="preserve">Custo de graxa /1.000 km rodados</t>
  </si>
  <si>
    <t xml:space="preserve">kg/1.000 km</t>
  </si>
  <si>
    <t xml:space="preserve">Custo mensal com graxa</t>
  </si>
  <si>
    <t xml:space="preserve">Custo líquido redutor Arla 32</t>
  </si>
  <si>
    <t xml:space="preserve">Custo do ARLA 32/1.000 km rodados</t>
  </si>
  <si>
    <t xml:space="preserve">Custo com consumos/km rodado</t>
  </si>
  <si>
    <t xml:space="preserve">R$/km rodado</t>
  </si>
  <si>
    <t xml:space="preserve">3.1.5. Manutenção</t>
  </si>
  <si>
    <t xml:space="preserve">Custo de manutenção dos caminhões</t>
  </si>
  <si>
    <t xml:space="preserve">3.1.6. Pneus</t>
  </si>
  <si>
    <t xml:space="preserve">Custo do jogo de pneus 275/80 R22,50</t>
  </si>
  <si>
    <t xml:space="preserve">Número de recapagens por pneu</t>
  </si>
  <si>
    <t xml:space="preserve">Custo de recapagem</t>
  </si>
  <si>
    <r>
      <rPr>
        <sz val="10"/>
        <rFont val="Arial"/>
        <family val="2"/>
        <charset val="1"/>
      </rPr>
      <t xml:space="preserve">Custo jg. compl. + </t>
    </r>
    <r>
      <rPr>
        <sz val="10"/>
        <color rgb="FFFF0000"/>
        <rFont val="Arial"/>
        <family val="2"/>
        <charset val="1"/>
      </rPr>
      <t xml:space="preserve">X</t>
    </r>
    <r>
      <rPr>
        <sz val="10"/>
        <rFont val="Arial"/>
        <family val="2"/>
        <charset val="1"/>
      </rPr>
      <t xml:space="preserve"> recap./ km rodado</t>
    </r>
  </si>
  <si>
    <t xml:space="preserve">km/jogo</t>
  </si>
  <si>
    <t xml:space="preserve">Custo mensal com pneus</t>
  </si>
  <si>
    <t xml:space="preserve">Custo Mensal com Veículos e Equipamentos (R$/mês)</t>
  </si>
  <si>
    <t xml:space="preserve">4. Ferramentas e Materiais de Consumo</t>
  </si>
  <si>
    <t xml:space="preserve">Recipiente térmico para água (5L)</t>
  </si>
  <si>
    <t xml:space="preserve">Pá de Concha</t>
  </si>
  <si>
    <t xml:space="preserve">Vassoura</t>
  </si>
  <si>
    <t xml:space="preserve">½</t>
  </si>
  <si>
    <t xml:space="preserve">Publicidade (adesivos veículos)</t>
  </si>
  <si>
    <t xml:space="preserve">cj</t>
  </si>
  <si>
    <t xml:space="preserve">Custo Mensal com Ferramentas e Materiais de Consumo (R$/mês)</t>
  </si>
  <si>
    <t xml:space="preserve">5. Monitoramento da Frota</t>
  </si>
  <si>
    <t xml:space="preserve">Implantação dos equipamentos de monitoramento</t>
  </si>
  <si>
    <t xml:space="preserve">Custo mensal com implantação</t>
  </si>
  <si>
    <t xml:space="preserve">Manutenção dos equipamentos de monitoramento</t>
  </si>
  <si>
    <t xml:space="preserve">Custo mensal com manutenção</t>
  </si>
  <si>
    <t xml:space="preserve">Custo Mensal com Monitoramento da Frota (R$/mês)</t>
  </si>
  <si>
    <t xml:space="preserve">6. Administração Local</t>
  </si>
  <si>
    <t xml:space="preserve">Aluguel garagem</t>
  </si>
  <si>
    <t xml:space="preserve">Luz </t>
  </si>
  <si>
    <t xml:space="preserve">Água</t>
  </si>
  <si>
    <t xml:space="preserve">Telefone</t>
  </si>
  <si>
    <t xml:space="preserve">Custo mensal com Administração Local</t>
  </si>
  <si>
    <t xml:space="preserve">CUSTO TOTAL MENSAL COM DESPESAS OPERACIONAIS (R$/mês)</t>
  </si>
  <si>
    <t xml:space="preserve">PREÇO MENSAL TOTAL (R$/mês)</t>
  </si>
  <si>
    <t xml:space="preserve">Quantidade média de quilômetros percorridos por mês: </t>
  </si>
  <si>
    <t xml:space="preserve">quilômetros</t>
  </si>
  <si>
    <t xml:space="preserve">Excluir esta linha caso a contratação seja por preço global mensal</t>
  </si>
  <si>
    <t xml:space="preserve">PREÇO POR TONELADA COLETADA:  [A/B]</t>
  </si>
  <si>
    <t xml:space="preserve">R$/tonelada</t>
  </si>
  <si>
    <t xml:space="preserve">Santa Cruz do Sul, 19 de Novembro de 2024</t>
  </si>
  <si>
    <t xml:space="preserve">Josiane Luiza Frantz</t>
  </si>
  <si>
    <t xml:space="preserve">Andreia Mahl</t>
  </si>
  <si>
    <t xml:space="preserve">Secretária Municipal de Meio Ambiente, Saneamento e Sustentabilidade</t>
  </si>
  <si>
    <t xml:space="preserve">Engenheira de Meio Ambiente</t>
  </si>
  <si>
    <t xml:space="preserve">em exercício</t>
  </si>
  <si>
    <t xml:space="preserve">CREA-RS: 184898</t>
  </si>
  <si>
    <t xml:space="preserve">ART n.º  13417614</t>
  </si>
  <si>
    <t xml:space="preserve">Orientações para preenchimento:</t>
  </si>
  <si>
    <t xml:space="preserve">1. Preencha previamente os dados de entrada na planilha 3.CAGED</t>
  </si>
  <si>
    <t xml:space="preserve">O TCE/RS não se responsabiliza pelo uso incorreto desta planilha.</t>
  </si>
  <si>
    <t xml:space="preserve">O orçamento deve ser realizado por responsável técnico habilitado e é de responsabilidade do seu autor.</t>
  </si>
  <si>
    <t xml:space="preserve">2. Composição dos Encargos Sociais </t>
  </si>
  <si>
    <t xml:space="preserve">Código</t>
  </si>
  <si>
    <t xml:space="preserve">Descrição</t>
  </si>
  <si>
    <t xml:space="preserve">Valor</t>
  </si>
  <si>
    <t xml:space="preserve">A1</t>
  </si>
  <si>
    <t xml:space="preserve">INSS</t>
  </si>
  <si>
    <t xml:space="preserve">A2</t>
  </si>
  <si>
    <t xml:space="preserve">SESI</t>
  </si>
  <si>
    <t xml:space="preserve">A3</t>
  </si>
  <si>
    <t xml:space="preserve">SENAI</t>
  </si>
  <si>
    <t xml:space="preserve">A4</t>
  </si>
  <si>
    <t xml:space="preserve">INCRA</t>
  </si>
  <si>
    <t xml:space="preserve">A5</t>
  </si>
  <si>
    <t xml:space="preserve">SEBRAE</t>
  </si>
  <si>
    <t xml:space="preserve">A6</t>
  </si>
  <si>
    <t xml:space="preserve">Salário educação</t>
  </si>
  <si>
    <t xml:space="preserve">A7</t>
  </si>
  <si>
    <t xml:space="preserve">Seguro contra acidentes de trabalho</t>
  </si>
  <si>
    <t xml:space="preserve">A8</t>
  </si>
  <si>
    <t xml:space="preserve">FGTS</t>
  </si>
  <si>
    <t xml:space="preserve">A</t>
  </si>
  <si>
    <t xml:space="preserve">SOMA GRUPO A</t>
  </si>
  <si>
    <t xml:space="preserve">B1</t>
  </si>
  <si>
    <t xml:space="preserve">Férias gozadas</t>
  </si>
  <si>
    <t xml:space="preserve">B2</t>
  </si>
  <si>
    <t xml:space="preserve">13º salário</t>
  </si>
  <si>
    <t xml:space="preserve">B3</t>
  </si>
  <si>
    <t xml:space="preserve">Licença Paternidade</t>
  </si>
  <si>
    <t xml:space="preserve">B4</t>
  </si>
  <si>
    <t xml:space="preserve">Faltas justificadas</t>
  </si>
  <si>
    <t xml:space="preserve">B5</t>
  </si>
  <si>
    <t xml:space="preserve">Auxilio acidente de trabalho</t>
  </si>
  <si>
    <t xml:space="preserve">B6</t>
  </si>
  <si>
    <t xml:space="preserve">Auxilio doença</t>
  </si>
  <si>
    <t xml:space="preserve">B</t>
  </si>
  <si>
    <t xml:space="preserve">SOMA GRUPO B</t>
  </si>
  <si>
    <t xml:space="preserve">C1</t>
  </si>
  <si>
    <t xml:space="preserve">Aviso prévio indenizado</t>
  </si>
  <si>
    <t xml:space="preserve">C2</t>
  </si>
  <si>
    <t xml:space="preserve">Férias indenizadas </t>
  </si>
  <si>
    <t xml:space="preserve">C3</t>
  </si>
  <si>
    <t xml:space="preserve">Férias indenizadas s/ aviso previo inden.</t>
  </si>
  <si>
    <t xml:space="preserve">C4</t>
  </si>
  <si>
    <t xml:space="preserve">Depósito rescisão sem justa causa</t>
  </si>
  <si>
    <t xml:space="preserve">C5</t>
  </si>
  <si>
    <t xml:space="preserve">Indenização adicional</t>
  </si>
  <si>
    <t xml:space="preserve">C</t>
  </si>
  <si>
    <t xml:space="preserve">SOMA GRUPO C</t>
  </si>
  <si>
    <t xml:space="preserve">D1</t>
  </si>
  <si>
    <t xml:space="preserve">Reincidência de Grupo A sobre Grupo B</t>
  </si>
  <si>
    <t xml:space="preserve">D2</t>
  </si>
  <si>
    <t xml:space="preserve">Reincidência de FGTS sobre aviso prévio indenizado</t>
  </si>
  <si>
    <t xml:space="preserve">D</t>
  </si>
  <si>
    <t xml:space="preserve">SOMA GRUPO D</t>
  </si>
  <si>
    <t xml:space="preserve">SOMA (A+B+C+D)</t>
  </si>
  <si>
    <t xml:space="preserve">CÁLCULO DAS VERBAS INDENIZATÓRIAS DOS EMPREGADOS NO SETOR DE COLETA DE RSU</t>
  </si>
  <si>
    <t xml:space="preserve">Tendo em vista que o CAGED foi descontinuado em janeiro de 2020, esta planilha foi atualizada até 31/12/2019.</t>
  </si>
  <si>
    <t xml:space="preserve">Preencha as células em amarelo</t>
  </si>
  <si>
    <t xml:space="preserve">3. CAGED</t>
  </si>
  <si>
    <t xml:space="preserve">Rio Grande do Sul  - Coleta de Resíduos Não-Perigosos - CNAE 38114</t>
  </si>
  <si>
    <t xml:space="preserve">Admissões</t>
  </si>
  <si>
    <t xml:space="preserve">Desligamentos</t>
  </si>
  <si>
    <t xml:space="preserve">Dispensados com justa causa</t>
  </si>
  <si>
    <t xml:space="preserve">Dispensados sem justa causa</t>
  </si>
  <si>
    <t xml:space="preserve">Espontâneos</t>
  </si>
  <si>
    <t xml:space="preserve">Fim de contrato por prazo determinado</t>
  </si>
  <si>
    <t xml:space="preserve">Término de contrato</t>
  </si>
  <si>
    <t xml:space="preserve">Aposentados</t>
  </si>
  <si>
    <t xml:space="preserve">Mortos</t>
  </si>
  <si>
    <t xml:space="preserve">Transferência de saída</t>
  </si>
  <si>
    <t xml:space="preserve">Acordo</t>
  </si>
  <si>
    <t xml:space="preserve"> </t>
  </si>
  <si>
    <t xml:space="preserve">Indicadores</t>
  </si>
  <si>
    <t xml:space="preserve">Estoque recuperado início do Período 01-01-2019</t>
  </si>
  <si>
    <t xml:space="preserve">Estoque recuperado final do Período 31-12-2019</t>
  </si>
  <si>
    <t xml:space="preserve">Variação Emprego Absoluta de 01-01-2019 a 31-12-2019</t>
  </si>
  <si>
    <t xml:space="preserve">Estoque Médio</t>
  </si>
  <si>
    <t xml:space="preserve">% Demitidos s/ Justa Causa em relação ao Estoque Médio</t>
  </si>
  <si>
    <t xml:space="preserve">Taxa de Rotatividade</t>
  </si>
  <si>
    <t xml:space="preserve">Rotatividade temporal (meses)</t>
  </si>
  <si>
    <t xml:space="preserve">Dias ano</t>
  </si>
  <si>
    <t xml:space="preserve">1/3 de férias (dias)</t>
  </si>
  <si>
    <t xml:space="preserve">Férias (dias)</t>
  </si>
  <si>
    <t xml:space="preserve">13º Salário (dias)</t>
  </si>
  <si>
    <t xml:space="preserve">Dias de Aviso prévio</t>
  </si>
  <si>
    <t xml:space="preserve">Multa FGTS</t>
  </si>
  <si>
    <t xml:space="preserve">Ajustado, de acordo com a nova Lei Federal nº 13.932/2019</t>
  </si>
  <si>
    <t xml:space="preserve">1. Esta planilha é somente um modelo-base e deve ser ajustada conforme cada caso concreto.</t>
  </si>
  <si>
    <t xml:space="preserve">2. Preencher somente células em amarelo</t>
  </si>
  <si>
    <t xml:space="preserve">4. Composição do BDI - Benefícios e Despesas Indiretas</t>
  </si>
  <si>
    <t xml:space="preserve">Referência estudo TCE</t>
  </si>
  <si>
    <t xml:space="preserve">1° Quartil</t>
  </si>
  <si>
    <t xml:space="preserve">Médio</t>
  </si>
  <si>
    <t xml:space="preserve">3° Quartil</t>
  </si>
  <si>
    <t xml:space="preserve">Administração Central</t>
  </si>
  <si>
    <t xml:space="preserve">AC</t>
  </si>
  <si>
    <t xml:space="preserve">Seguros/Riscos/Garantias</t>
  </si>
  <si>
    <t xml:space="preserve">SRG</t>
  </si>
  <si>
    <t xml:space="preserve">Lucro</t>
  </si>
  <si>
    <t xml:space="preserve">L</t>
  </si>
  <si>
    <t xml:space="preserve">Despesas Financeiras</t>
  </si>
  <si>
    <t xml:space="preserve">DF</t>
  </si>
  <si>
    <t xml:space="preserve">i</t>
  </si>
  <si>
    <t xml:space="preserve">Tributos - ISS</t>
  </si>
  <si>
    <t xml:space="preserve">T</t>
  </si>
  <si>
    <t xml:space="preserve">DU</t>
  </si>
  <si>
    <t xml:space="preserve">Tributos - PIS/COFINS</t>
  </si>
  <si>
    <t xml:space="preserve">Fórmula para o cálculo do BDI:</t>
  </si>
  <si>
    <t xml:space="preserve">{[(1+AC+SRG) x (1+L) x (1+DF)] / (1-T)} -1</t>
  </si>
  <si>
    <t xml:space="preserve">Resultado do cálculo do BDI:</t>
  </si>
  <si>
    <t xml:space="preserve">5. Depreciação Referencial TCE/RS (%)</t>
  </si>
  <si>
    <t xml:space="preserve">Idade do veículo (ano)</t>
  </si>
  <si>
    <t xml:space="preserve">Depreciação Média</t>
  </si>
  <si>
    <t xml:space="preserve">6. Remuneração de Capital</t>
  </si>
  <si>
    <t xml:space="preserve">Fórmula de cálculo da remuneração de capital:</t>
  </si>
  <si>
    <r>
      <rPr>
        <sz val="12"/>
        <color rgb="FF000000"/>
        <rFont val="Arial"/>
        <family val="2"/>
        <charset val="1"/>
      </rPr>
      <t xml:space="preserve">J</t>
    </r>
    <r>
      <rPr>
        <vertAlign val="subscript"/>
        <sz val="12"/>
        <color rgb="FF000000"/>
        <rFont val="Arial"/>
        <family val="2"/>
        <charset val="1"/>
      </rPr>
      <t xml:space="preserve">m</t>
    </r>
    <r>
      <rPr>
        <sz val="12"/>
        <color rgb="FF000000"/>
        <rFont val="Arial"/>
        <family val="2"/>
        <charset val="1"/>
      </rPr>
      <t xml:space="preserve"> = remuneração de capital mensal</t>
    </r>
  </si>
  <si>
    <t xml:space="preserve">i = taxa de juros do mercado (sugere-se adotar a taxa SELIC)</t>
  </si>
  <si>
    <t xml:space="preserve">Im = investimento médio</t>
  </si>
  <si>
    <r>
      <rPr>
        <sz val="12"/>
        <color rgb="FF000000"/>
        <rFont val="Arial"/>
        <family val="2"/>
        <charset val="1"/>
      </rPr>
      <t xml:space="preserve">V</t>
    </r>
    <r>
      <rPr>
        <vertAlign val="subscript"/>
        <sz val="12"/>
        <color rgb="FF000000"/>
        <rFont val="Arial"/>
        <family val="2"/>
        <charset val="1"/>
      </rPr>
      <t xml:space="preserve">0</t>
    </r>
    <r>
      <rPr>
        <sz val="12"/>
        <color rgb="FF000000"/>
        <rFont val="Arial"/>
        <family val="2"/>
        <charset val="1"/>
      </rPr>
      <t xml:space="preserve"> = valor inicial do bem</t>
    </r>
  </si>
  <si>
    <r>
      <rPr>
        <sz val="12"/>
        <color rgb="FF000000"/>
        <rFont val="Arial"/>
        <family val="2"/>
        <charset val="1"/>
      </rPr>
      <t xml:space="preserve">V</t>
    </r>
    <r>
      <rPr>
        <vertAlign val="subscript"/>
        <sz val="12"/>
        <color rgb="FF000000"/>
        <rFont val="Arial"/>
        <family val="2"/>
        <charset val="1"/>
      </rPr>
      <t xml:space="preserve">r</t>
    </r>
    <r>
      <rPr>
        <sz val="12"/>
        <color rgb="FF000000"/>
        <rFont val="Arial"/>
        <family val="2"/>
        <charset val="1"/>
      </rPr>
      <t xml:space="preserve"> = valor residual do bem</t>
    </r>
  </si>
  <si>
    <t xml:space="preserve">n = vida útil do bem em anos</t>
  </si>
  <si>
    <t xml:space="preserve">1. Esta planilha é somente um modelo de cálculo expedito e deve ser ajustada conforme cada caso concreto.</t>
  </si>
  <si>
    <t xml:space="preserve">2. Dimensionar separadamente setores atendidos por veículos de capacidade de carga diferentes.</t>
  </si>
  <si>
    <t xml:space="preserve">3. Preencher somente células em amarelo</t>
  </si>
  <si>
    <t xml:space="preserve">7. Dimensionamento da frota</t>
  </si>
  <si>
    <t xml:space="preserve">Indicador</t>
  </si>
  <si>
    <t xml:space="preserve">Unid</t>
  </si>
  <si>
    <t xml:space="preserve">População (H)</t>
  </si>
  <si>
    <t xml:space="preserve">hab</t>
  </si>
  <si>
    <t xml:space="preserve">Geração per capita (G)</t>
  </si>
  <si>
    <t xml:space="preserve">Kg/hab.dia</t>
  </si>
  <si>
    <t xml:space="preserve">Geração total diária (Qd)</t>
  </si>
  <si>
    <t xml:space="preserve">ton/dia</t>
  </si>
  <si>
    <t xml:space="preserve">Geração Mensal</t>
  </si>
  <si>
    <t xml:space="preserve">ton</t>
  </si>
  <si>
    <t xml:space="preserve">Número de dias de coleta por semana (Dc)</t>
  </si>
  <si>
    <t xml:space="preserve">Quantitativo diário de coleta (Qc)</t>
  </si>
  <si>
    <t xml:space="preserve">Densidade RSU compactado</t>
  </si>
  <si>
    <t xml:space="preserve">Kg/m³</t>
  </si>
  <si>
    <t xml:space="preserve">Tipo de Veículo (1 = toco, 2 = truck)</t>
  </si>
  <si>
    <t xml:space="preserve">Capacidade do Compactador</t>
  </si>
  <si>
    <t xml:space="preserve">m³</t>
  </si>
  <si>
    <t xml:space="preserve">Capacidade nominal de carga (Cc)</t>
  </si>
  <si>
    <t xml:space="preserve">Número de Cargas por dia (Nc)</t>
  </si>
  <si>
    <t xml:space="preserve">Número total de percursos de coleta por veículo, por dia (Np)</t>
  </si>
  <si>
    <t xml:space="preserve">Número de veículos da Frota (F)</t>
  </si>
</sst>
</file>

<file path=xl/styles.xml><?xml version="1.0" encoding="utf-8"?>
<styleSheet xmlns="http://schemas.openxmlformats.org/spreadsheetml/2006/main">
  <numFmts count="22">
    <numFmt numFmtId="164" formatCode="General"/>
    <numFmt numFmtId="165" formatCode="* #,##0.00\ ;* \(#,##0.00\);* \-#\ ;@\ "/>
    <numFmt numFmtId="166" formatCode="#,##0.00"/>
    <numFmt numFmtId="167" formatCode="&quot;R$ &quot;#,##0.00"/>
    <numFmt numFmtId="168" formatCode="0%"/>
    <numFmt numFmtId="169" formatCode="0.00%"/>
    <numFmt numFmtId="170" formatCode="&quot;R$ &quot;#,##0.00\ ;&quot;(R$ &quot;#,##0.00\)"/>
    <numFmt numFmtId="171" formatCode="0"/>
    <numFmt numFmtId="172" formatCode="* #,##0\ ;* \(#,##0\);* \-#\ ;@\ "/>
    <numFmt numFmtId="173" formatCode="* #,##0.00\ ;* \(#,##0.00\);* \-00\ ;@\ "/>
    <numFmt numFmtId="174" formatCode="0.00"/>
    <numFmt numFmtId="175" formatCode="# ??/??"/>
    <numFmt numFmtId="176" formatCode="* #,##0.00\ ;\-* #,##0.00\ ;* \-#\ ;@\ "/>
    <numFmt numFmtId="177" formatCode="General"/>
    <numFmt numFmtId="178" formatCode="#,##0"/>
    <numFmt numFmtId="179" formatCode="* #,##0.000\ ;* \(#,##0.000\);* \-#\ ;@\ "/>
    <numFmt numFmtId="180" formatCode="#,##0.000"/>
    <numFmt numFmtId="181" formatCode="#,##0.0000"/>
    <numFmt numFmtId="182" formatCode="#,##0.0"/>
    <numFmt numFmtId="183" formatCode="0.0000"/>
    <numFmt numFmtId="184" formatCode="* #,##0.000\ ;\-* #,##0.000\ ;* \-#\ ;@\ "/>
    <numFmt numFmtId="185" formatCode="* #,##0\ ;\-* #,##0\ ;* \-#\ ;@\ "/>
  </numFmts>
  <fonts count="3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9"/>
      <name val="Arial"/>
      <family val="2"/>
      <charset val="1"/>
    </font>
    <font>
      <b val="true"/>
      <u val="single"/>
      <sz val="9"/>
      <name val="Arial"/>
      <family val="2"/>
      <charset val="1"/>
    </font>
    <font>
      <sz val="8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10"/>
      <color rgb="FFFF0000"/>
      <name val="Arial"/>
      <family val="2"/>
      <charset val="1"/>
    </font>
    <font>
      <sz val="9"/>
      <name val="Arial"/>
      <family val="2"/>
      <charset val="1"/>
    </font>
    <font>
      <i val="true"/>
      <sz val="10"/>
      <name val="Arial"/>
      <family val="2"/>
      <charset val="1"/>
    </font>
    <font>
      <sz val="9"/>
      <name val="Verdana"/>
      <family val="2"/>
      <charset val="1"/>
    </font>
    <font>
      <sz val="9"/>
      <name val="Arial"/>
      <family val="0"/>
      <charset val="1"/>
    </font>
    <font>
      <b val="true"/>
      <sz val="12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9"/>
      <color rgb="FF000000"/>
      <name val="Tahoma"/>
      <family val="2"/>
      <charset val="1"/>
    </font>
    <font>
      <sz val="12"/>
      <color rgb="FF000000"/>
      <name val="Arial"/>
      <family val="2"/>
      <charset val="1"/>
    </font>
    <font>
      <vertAlign val="subscript"/>
      <sz val="12"/>
      <color rgb="FF0000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B2B2B2"/>
        <bgColor rgb="FFA6A6A6"/>
      </patternFill>
    </fill>
    <fill>
      <patternFill patternType="solid">
        <fgColor rgb="FFC0C0C0"/>
        <bgColor rgb="FFBFBFBF"/>
      </patternFill>
    </fill>
    <fill>
      <patternFill patternType="solid">
        <fgColor rgb="FFC6D9F1"/>
        <bgColor rgb="FFD9D9D9"/>
      </patternFill>
    </fill>
    <fill>
      <patternFill patternType="solid">
        <fgColor rgb="FFD9D9D9"/>
        <bgColor rgb="FFDDD9C3"/>
      </patternFill>
    </fill>
    <fill>
      <patternFill patternType="solid">
        <fgColor rgb="FFA6A6A6"/>
        <bgColor rgb="FFB2B2B2"/>
      </patternFill>
    </fill>
    <fill>
      <patternFill patternType="solid">
        <fgColor rgb="FFFFFFFF"/>
        <bgColor rgb="FFEEECE1"/>
      </patternFill>
    </fill>
    <fill>
      <patternFill patternType="solid">
        <fgColor rgb="FFDDD9C3"/>
        <bgColor rgb="FFD9D9D9"/>
      </patternFill>
    </fill>
    <fill>
      <patternFill patternType="solid">
        <fgColor rgb="FFEEECE1"/>
        <bgColor rgb="FFD9D9D9"/>
      </patternFill>
    </fill>
  </fills>
  <borders count="5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5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9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9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1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15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15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12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5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9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7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9" fillId="0" borderId="19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2" borderId="2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2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22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8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9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4" fillId="0" borderId="1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4" fillId="0" borderId="2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2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9" fillId="0" borderId="2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8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29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4" fillId="0" borderId="3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9" fillId="3" borderId="6" xfId="1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9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9" fillId="4" borderId="3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5" borderId="3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9" fillId="5" borderId="3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1" fillId="5" borderId="1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3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4" fillId="0" borderId="1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4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3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6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1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5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5" borderId="1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4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2" fontId="4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2" fontId="4" fillId="0" borderId="1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5" borderId="2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3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5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4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5" borderId="2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6" borderId="1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5" borderId="3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8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3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3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4" fillId="3" borderId="3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0" fontId="4" fillId="0" borderId="3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4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1" fontId="4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9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4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1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9" fillId="5" borderId="2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6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5" borderId="2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8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9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21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22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7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7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22" fillId="7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1" fillId="0" borderId="0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8" borderId="4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8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22" fillId="8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2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9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9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1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7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2" fillId="0" borderId="2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3" fontId="7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2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26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38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39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1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2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39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6" fillId="0" borderId="14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6" fillId="0" borderId="23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3" borderId="14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0" borderId="2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6" fillId="3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7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7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7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4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6" fillId="0" borderId="16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6" fillId="0" borderId="3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1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1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21" fillId="11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21" fillId="11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5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7" fillId="0" borderId="5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5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4" fontId="21" fillId="0" borderId="2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6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85" fontId="6" fillId="3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6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ont>
        <name val="Arial"/>
        <charset val="1"/>
        <family val="0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EEECE1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133200</xdr:colOff>
      <xdr:row>4</xdr:row>
      <xdr:rowOff>28440</xdr:rowOff>
    </xdr:from>
    <xdr:to>
      <xdr:col>0</xdr:col>
      <xdr:colOff>1413360</xdr:colOff>
      <xdr:row>6</xdr:row>
      <xdr:rowOff>60840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133200" y="734400"/>
          <a:ext cx="1280160" cy="3564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85680</xdr:colOff>
      <xdr:row>7</xdr:row>
      <xdr:rowOff>9360</xdr:rowOff>
    </xdr:from>
    <xdr:to>
      <xdr:col>0</xdr:col>
      <xdr:colOff>2118240</xdr:colOff>
      <xdr:row>9</xdr:row>
      <xdr:rowOff>51120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85680" y="1201320"/>
          <a:ext cx="2032560" cy="365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1048576"/>
  <sheetViews>
    <sheetView showFormulas="false" showGridLines="true" showRowColHeaders="true" showZeros="true" rightToLeft="false" tabSelected="true" showOutlineSymbols="true" defaultGridColor="true" view="pageBreakPreview" topLeftCell="A85" colorId="64" zoomScale="110" zoomScaleNormal="100" zoomScalePageLayoutView="110" workbookViewId="0">
      <selection pane="topLeft" activeCell="E105" activeCellId="0" sqref="E10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4.58"/>
    <col collapsed="false" customWidth="true" hidden="false" outlineLevel="0" max="2" min="2" style="1" width="16"/>
    <col collapsed="false" customWidth="true" hidden="false" outlineLevel="0" max="3" min="3" style="1" width="11.86"/>
    <col collapsed="false" customWidth="true" hidden="false" outlineLevel="0" max="4" min="4" style="2" width="14.69"/>
    <col collapsed="false" customWidth="true" hidden="false" outlineLevel="0" max="5" min="5" style="2" width="15.42"/>
    <col collapsed="false" customWidth="true" hidden="false" outlineLevel="0" max="6" min="6" style="2" width="13.29"/>
    <col collapsed="false" customWidth="true" hidden="false" outlineLevel="0" max="8" min="7" style="2" width="28.14"/>
    <col collapsed="false" customWidth="false" hidden="false" outlineLevel="0" max="9" min="9" style="1" width="9.13"/>
    <col collapsed="false" customWidth="true" hidden="false" outlineLevel="0" max="10" min="10" style="1" width="14.57"/>
    <col collapsed="false" customWidth="true" hidden="false" outlineLevel="0" max="11" min="11" style="1" width="13.43"/>
    <col collapsed="false" customWidth="false" hidden="false" outlineLevel="0" max="1024" min="12" style="1" width="9.13"/>
  </cols>
  <sheetData>
    <row r="1" s="6" customFormat="true" ht="17.35" hidden="false" customHeight="false" outlineLevel="0" collapsed="false">
      <c r="A1" s="3" t="s">
        <v>0</v>
      </c>
      <c r="B1" s="3"/>
      <c r="C1" s="3"/>
      <c r="D1" s="3"/>
      <c r="E1" s="3"/>
      <c r="F1" s="3"/>
      <c r="G1" s="4"/>
      <c r="H1" s="5"/>
    </row>
    <row r="2" s="6" customFormat="true" ht="21.75" hidden="false" customHeight="true" outlineLevel="0" collapsed="false">
      <c r="A2" s="7" t="s">
        <v>1</v>
      </c>
      <c r="B2" s="7"/>
      <c r="C2" s="7"/>
      <c r="D2" s="7"/>
      <c r="E2" s="7"/>
      <c r="F2" s="7"/>
      <c r="G2" s="8"/>
      <c r="H2" s="5"/>
    </row>
    <row r="3" s="12" customFormat="true" ht="10.5" hidden="false" customHeight="true" outlineLevel="0" collapsed="false">
      <c r="A3" s="9"/>
      <c r="B3" s="8"/>
      <c r="C3" s="8"/>
      <c r="D3" s="10"/>
      <c r="E3" s="10"/>
      <c r="F3" s="11"/>
      <c r="G3" s="11"/>
      <c r="H3" s="10"/>
    </row>
    <row r="4" s="12" customFormat="true" ht="15.75" hidden="false" customHeight="true" outlineLevel="0" collapsed="false">
      <c r="A4" s="13"/>
      <c r="B4" s="14"/>
      <c r="C4" s="14"/>
      <c r="D4" s="14"/>
      <c r="E4" s="14"/>
      <c r="F4" s="13"/>
      <c r="G4" s="13" t="s">
        <v>2</v>
      </c>
      <c r="H4" s="10"/>
    </row>
    <row r="5" s="12" customFormat="true" ht="15.75" hidden="false" customHeight="true" outlineLevel="0" collapsed="false">
      <c r="A5" s="15" t="s">
        <v>3</v>
      </c>
      <c r="B5" s="16"/>
      <c r="C5" s="16"/>
      <c r="D5" s="17"/>
      <c r="E5" s="18" t="s">
        <v>4</v>
      </c>
      <c r="F5" s="19" t="s">
        <v>5</v>
      </c>
      <c r="G5" s="19"/>
      <c r="H5" s="10"/>
    </row>
    <row r="6" s="26" customFormat="true" ht="15.75" hidden="false" customHeight="true" outlineLevel="0" collapsed="false">
      <c r="A6" s="20" t="str">
        <f aca="false">A39</f>
        <v>1. Mão-de-obra</v>
      </c>
      <c r="B6" s="21"/>
      <c r="C6" s="22"/>
      <c r="D6" s="22"/>
      <c r="E6" s="23" t="n">
        <f aca="false">F90</f>
        <v>32071.4848</v>
      </c>
      <c r="F6" s="24" t="n">
        <f aca="false">IFERROR(E6/$E$24,0)</f>
        <v>0.445581092818123</v>
      </c>
      <c r="G6" s="23" t="n">
        <f aca="false">G90</f>
        <v>40435.72803584</v>
      </c>
      <c r="H6" s="25"/>
    </row>
    <row r="7" s="12" customFormat="true" ht="15.75" hidden="false" customHeight="true" outlineLevel="0" collapsed="false">
      <c r="A7" s="27" t="str">
        <f aca="false">A41</f>
        <v>1.1. Coletor Turno Dia</v>
      </c>
      <c r="B7" s="28"/>
      <c r="C7" s="29"/>
      <c r="D7" s="29"/>
      <c r="E7" s="30" t="n">
        <f aca="false">F52</f>
        <v>18752.04</v>
      </c>
      <c r="F7" s="31" t="n">
        <f aca="false">IFERROR(E7/$E$24,0)</f>
        <v>0.260529081452729</v>
      </c>
      <c r="G7" s="30" t="n">
        <f aca="false">G52</f>
        <v>23642.572032</v>
      </c>
      <c r="H7" s="10"/>
    </row>
    <row r="8" s="12" customFormat="true" ht="15.75" hidden="false" customHeight="true" outlineLevel="0" collapsed="false">
      <c r="A8" s="27" t="str">
        <f aca="false">A55</f>
        <v>1.3. Motorista Turno do Dia</v>
      </c>
      <c r="B8" s="28"/>
      <c r="C8" s="29"/>
      <c r="D8" s="29"/>
      <c r="E8" s="30" t="n">
        <f aca="false">F68</f>
        <v>9733.34</v>
      </c>
      <c r="F8" s="31" t="n">
        <f aca="false">IFERROR(E8/$E$24,0)</f>
        <v>0.135228920675676</v>
      </c>
      <c r="G8" s="30" t="n">
        <f aca="false">G68</f>
        <v>12271.795072</v>
      </c>
      <c r="H8" s="10"/>
    </row>
    <row r="9" s="12" customFormat="true" ht="15.75" hidden="false" customHeight="true" outlineLevel="0" collapsed="false">
      <c r="A9" s="27" t="str">
        <f aca="false">A71</f>
        <v>1.5. Vale Transporte</v>
      </c>
      <c r="B9" s="28"/>
      <c r="C9" s="29"/>
      <c r="D9" s="29"/>
      <c r="E9" s="30" t="n">
        <f aca="false">F77</f>
        <v>703.3848</v>
      </c>
      <c r="F9" s="31" t="n">
        <f aca="false">IFERROR(E9/$E$24,0)</f>
        <v>0.00977238720970153</v>
      </c>
      <c r="G9" s="30" t="n">
        <f aca="false">G77</f>
        <v>886.82755584</v>
      </c>
      <c r="H9" s="10"/>
    </row>
    <row r="10" s="12" customFormat="true" ht="15.75" hidden="false" customHeight="true" outlineLevel="0" collapsed="false">
      <c r="A10" s="27" t="str">
        <f aca="false">A79</f>
        <v>1.6. Vale-refeição (diário)</v>
      </c>
      <c r="B10" s="28"/>
      <c r="C10" s="29"/>
      <c r="D10" s="29"/>
      <c r="E10" s="30" t="n">
        <f aca="false">F83</f>
        <v>2682.16</v>
      </c>
      <c r="F10" s="31" t="n">
        <f aca="false">IFERROR(E10/$E$24,0)</f>
        <v>0.0372642486422411</v>
      </c>
      <c r="G10" s="30" t="n">
        <f aca="false">G83</f>
        <v>3381.667328</v>
      </c>
      <c r="H10" s="10"/>
    </row>
    <row r="11" s="12" customFormat="true" ht="15.75" hidden="false" customHeight="true" outlineLevel="0" collapsed="false">
      <c r="A11" s="27" t="str">
        <f aca="false">A85</f>
        <v>1.7. Auxílio Alimentação (mensal)</v>
      </c>
      <c r="B11" s="28"/>
      <c r="C11" s="29"/>
      <c r="D11" s="29"/>
      <c r="E11" s="30" t="n">
        <f aca="false">F88</f>
        <v>200.56</v>
      </c>
      <c r="F11" s="31" t="n">
        <f aca="false">IFERROR(E11/$E$24,0)</f>
        <v>0.00278645483777548</v>
      </c>
      <c r="G11" s="30" t="n">
        <f aca="false">G88</f>
        <v>252.866048</v>
      </c>
      <c r="H11" s="10"/>
    </row>
    <row r="12" s="26" customFormat="true" ht="15.75" hidden="false" customHeight="true" outlineLevel="0" collapsed="false">
      <c r="A12" s="32" t="str">
        <f aca="false">A92</f>
        <v>2. Uniformes e Equipamentos de Proteção Individual</v>
      </c>
      <c r="B12" s="32"/>
      <c r="C12" s="32"/>
      <c r="D12" s="22"/>
      <c r="E12" s="23" t="n">
        <f aca="false">+F124</f>
        <v>1113.59666666667</v>
      </c>
      <c r="F12" s="24" t="n">
        <f aca="false">IFERROR(E12/$E$24,0)</f>
        <v>0.0154716135778021</v>
      </c>
      <c r="G12" s="33" t="n">
        <f aca="false">G124</f>
        <v>1404.02267733333</v>
      </c>
      <c r="H12" s="25"/>
    </row>
    <row r="13" s="26" customFormat="true" ht="15.75" hidden="false" customHeight="true" outlineLevel="0" collapsed="false">
      <c r="A13" s="32" t="str">
        <f aca="false">A126</f>
        <v>3. Veículos e Equipamentos</v>
      </c>
      <c r="B13" s="34"/>
      <c r="C13" s="22"/>
      <c r="D13" s="22"/>
      <c r="E13" s="23" t="n">
        <f aca="false">+F205</f>
        <v>33831.1542239809</v>
      </c>
      <c r="F13" s="24" t="n">
        <f aca="false">IFERROR(E13/$E$24,0)</f>
        <v>0.470028836033805</v>
      </c>
      <c r="G13" s="33" t="n">
        <f aca="false">G205</f>
        <v>42654.3192455951</v>
      </c>
      <c r="H13" s="25"/>
    </row>
    <row r="14" s="12" customFormat="true" ht="15.75" hidden="false" customHeight="true" outlineLevel="0" collapsed="false">
      <c r="A14" s="35" t="str">
        <f aca="false">A128</f>
        <v>3.1. Veículo Coletor Compactador 12 m³</v>
      </c>
      <c r="B14" s="36"/>
      <c r="C14" s="29"/>
      <c r="D14" s="29"/>
      <c r="E14" s="30" t="n">
        <v>0</v>
      </c>
      <c r="F14" s="37" t="n">
        <v>0</v>
      </c>
      <c r="G14" s="30" t="n">
        <f aca="false">G82</f>
        <v>0</v>
      </c>
      <c r="H14" s="10"/>
    </row>
    <row r="15" s="12" customFormat="true" ht="15.75" hidden="false" customHeight="true" outlineLevel="0" collapsed="false">
      <c r="A15" s="35" t="str">
        <f aca="false">A130</f>
        <v>3.1.1. Depreciação</v>
      </c>
      <c r="B15" s="36"/>
      <c r="C15" s="29"/>
      <c r="D15" s="29"/>
      <c r="E15" s="30" t="n">
        <f aca="false">F144</f>
        <v>3839.87335098333</v>
      </c>
      <c r="F15" s="37" t="n">
        <f aca="false">IFERROR(E15/$E$24,0)</f>
        <v>0.0533487917595365</v>
      </c>
      <c r="G15" s="30" t="n">
        <f aca="false">G144</f>
        <v>4841.31232091978</v>
      </c>
      <c r="H15" s="10"/>
    </row>
    <row r="16" s="12" customFormat="true" ht="15.75" hidden="false" customHeight="true" outlineLevel="0" collapsed="false">
      <c r="A16" s="35" t="str">
        <f aca="false">A146</f>
        <v>3.1.2. Remuneração do Capital</v>
      </c>
      <c r="B16" s="36"/>
      <c r="C16" s="29"/>
      <c r="D16" s="29"/>
      <c r="E16" s="30" t="n">
        <f aca="false">F160</f>
        <v>4683.64545981469</v>
      </c>
      <c r="F16" s="37" t="n">
        <f aca="false">IFERROR(E16/$E$24,0)</f>
        <v>0.0650716321795264</v>
      </c>
      <c r="G16" s="30" t="n">
        <f aca="false">G160</f>
        <v>5905.14019573436</v>
      </c>
      <c r="H16" s="10"/>
    </row>
    <row r="17" s="12" customFormat="true" ht="15.75" hidden="false" customHeight="true" outlineLevel="0" collapsed="false">
      <c r="A17" s="35" t="str">
        <f aca="false">A162</f>
        <v>3.1.3. Impostos e Seguros</v>
      </c>
      <c r="B17" s="36"/>
      <c r="C17" s="29"/>
      <c r="D17" s="29"/>
      <c r="E17" s="30" t="n">
        <f aca="false">F168</f>
        <v>723.57695</v>
      </c>
      <c r="F17" s="37" t="n">
        <f aca="false">IFERROR(E17/$E$24,0)</f>
        <v>0.0100529242761783</v>
      </c>
      <c r="G17" s="30" t="n">
        <f aca="false">G168</f>
        <v>912.28581856</v>
      </c>
      <c r="H17" s="10"/>
    </row>
    <row r="18" s="12" customFormat="true" ht="15.75" hidden="false" customHeight="true" outlineLevel="0" collapsed="false">
      <c r="A18" s="35" t="str">
        <f aca="false">A170</f>
        <v>3.1.4. Consumos</v>
      </c>
      <c r="B18" s="36"/>
      <c r="C18" s="29"/>
      <c r="D18" s="29"/>
      <c r="E18" s="30" t="n">
        <f aca="false">F188</f>
        <v>18221.4</v>
      </c>
      <c r="F18" s="37" t="n">
        <f aca="false">IFERROR(E18/$E$24,0)</f>
        <v>0.253156702139221</v>
      </c>
      <c r="G18" s="30" t="n">
        <f aca="false">G188</f>
        <v>22973.54112</v>
      </c>
      <c r="H18" s="10"/>
    </row>
    <row r="19" s="12" customFormat="true" ht="15.75" hidden="false" customHeight="true" outlineLevel="0" collapsed="false">
      <c r="A19" s="35" t="str">
        <f aca="false">A190</f>
        <v>3.1.5. Manutenção</v>
      </c>
      <c r="B19" s="36"/>
      <c r="C19" s="29"/>
      <c r="D19" s="29"/>
      <c r="E19" s="30" t="n">
        <f aca="false">F193</f>
        <v>4352.1546</v>
      </c>
      <c r="F19" s="37" t="n">
        <f aca="false">IFERROR(E19/$E$24,0)</f>
        <v>0.0604661061024971</v>
      </c>
      <c r="G19" s="30" t="n">
        <f aca="false">G193</f>
        <v>5487.19651968</v>
      </c>
      <c r="H19" s="10"/>
    </row>
    <row r="20" s="12" customFormat="true" ht="15.75" hidden="false" customHeight="true" outlineLevel="0" collapsed="false">
      <c r="A20" s="35" t="str">
        <f aca="false">A195</f>
        <v>3.1.6. Pneus</v>
      </c>
      <c r="B20" s="36"/>
      <c r="C20" s="29"/>
      <c r="D20" s="29"/>
      <c r="E20" s="30" t="n">
        <f aca="false">F202</f>
        <v>2010.50386318286</v>
      </c>
      <c r="F20" s="37" t="n">
        <f aca="false">IFERROR(E20/$E$24,0)</f>
        <v>0.0279326795768457</v>
      </c>
      <c r="G20" s="30" t="n">
        <f aca="false">G202</f>
        <v>2534.84327070095</v>
      </c>
      <c r="H20" s="10"/>
    </row>
    <row r="21" s="26" customFormat="true" ht="15.75" hidden="false" customHeight="true" outlineLevel="0" collapsed="false">
      <c r="A21" s="32" t="str">
        <f aca="false">A207</f>
        <v>4. Ferramentas e Materiais de Consumo</v>
      </c>
      <c r="B21" s="34"/>
      <c r="C21" s="22"/>
      <c r="D21" s="22"/>
      <c r="E21" s="23" t="n">
        <f aca="false">+F216</f>
        <v>33.3008333333333</v>
      </c>
      <c r="F21" s="24" t="n">
        <f aca="false">IFERROR(E21/$E$24,0)</f>
        <v>0.000462660890225477</v>
      </c>
      <c r="G21" s="33" t="n">
        <f aca="false">G216</f>
        <v>41.9856906666666</v>
      </c>
      <c r="H21" s="25"/>
    </row>
    <row r="22" s="26" customFormat="true" ht="15.75" hidden="false" customHeight="true" outlineLevel="0" collapsed="false">
      <c r="A22" s="32" t="str">
        <f aca="false">A218</f>
        <v>5. Monitoramento da Frota</v>
      </c>
      <c r="B22" s="34"/>
      <c r="C22" s="22"/>
      <c r="D22" s="22"/>
      <c r="E22" s="23" t="n">
        <f aca="false">+F227</f>
        <v>162.906666666667</v>
      </c>
      <c r="F22" s="24" t="n">
        <f aca="false">IFERROR(E22/$E$24,0)</f>
        <v>0.00226332304267657</v>
      </c>
      <c r="G22" s="33" t="n">
        <f aca="false">G225</f>
        <v>205.392725333334</v>
      </c>
      <c r="H22" s="25"/>
    </row>
    <row r="23" s="26" customFormat="true" ht="15.75" hidden="false" customHeight="true" outlineLevel="0" collapsed="false">
      <c r="A23" s="32" t="str">
        <f aca="false">A230</f>
        <v>6. Administração Local</v>
      </c>
      <c r="B23" s="34"/>
      <c r="C23" s="22"/>
      <c r="D23" s="22"/>
      <c r="E23" s="38" t="n">
        <f aca="false">F238</f>
        <v>4764.32</v>
      </c>
      <c r="F23" s="24" t="n">
        <f aca="false">IFERROR(E23/$E$24,0)</f>
        <v>0.0661924736373678</v>
      </c>
      <c r="G23" s="33" t="n">
        <f aca="false">G238</f>
        <v>6006.854656</v>
      </c>
      <c r="H23" s="25"/>
    </row>
    <row r="24" s="12" customFormat="true" ht="15.75" hidden="false" customHeight="true" outlineLevel="0" collapsed="false">
      <c r="A24" s="39" t="s">
        <v>6</v>
      </c>
      <c r="B24" s="40"/>
      <c r="C24" s="41"/>
      <c r="D24" s="41"/>
      <c r="E24" s="42" t="n">
        <f aca="false">E6+E12+E13+E21+E22+E23</f>
        <v>71976.7631906475</v>
      </c>
      <c r="F24" s="43" t="n">
        <f aca="false">F6+F12+F13+F21+F22+F23</f>
        <v>1</v>
      </c>
      <c r="G24" s="33" t="n">
        <f aca="false">G6+G12+G13+G21+G22+G23</f>
        <v>90748.3030307684</v>
      </c>
      <c r="H24" s="10"/>
    </row>
    <row r="25" customFormat="false" ht="12.8" hidden="false" customHeight="false" outlineLevel="0" collapsed="false"/>
    <row r="26" customFormat="false" ht="12.8" hidden="false" customHeight="false" outlineLevel="0" collapsed="false"/>
    <row r="27" s="12" customFormat="true" ht="15" hidden="false" customHeight="true" outlineLevel="0" collapsed="false">
      <c r="A27" s="44" t="s">
        <v>7</v>
      </c>
      <c r="B27" s="44"/>
      <c r="C27" s="44"/>
      <c r="D27" s="44"/>
      <c r="E27" s="44"/>
      <c r="F27" s="2"/>
      <c r="G27" s="2"/>
      <c r="H27" s="10"/>
    </row>
    <row r="28" s="12" customFormat="true" ht="15" hidden="false" customHeight="true" outlineLevel="0" collapsed="false">
      <c r="A28" s="45" t="s">
        <v>8</v>
      </c>
      <c r="B28" s="45"/>
      <c r="C28" s="45"/>
      <c r="D28" s="45"/>
      <c r="E28" s="46" t="s">
        <v>9</v>
      </c>
      <c r="F28" s="2"/>
      <c r="G28" s="2"/>
      <c r="H28" s="10"/>
    </row>
    <row r="29" s="12" customFormat="true" ht="15" hidden="false" customHeight="true" outlineLevel="0" collapsed="false">
      <c r="A29" s="47" t="str">
        <f aca="false">+A41</f>
        <v>1.1. Coletor Turno Dia</v>
      </c>
      <c r="B29" s="48"/>
      <c r="C29" s="48"/>
      <c r="D29" s="49"/>
      <c r="E29" s="50" t="n">
        <v>4</v>
      </c>
      <c r="F29" s="2"/>
      <c r="G29" s="2"/>
      <c r="H29" s="10"/>
    </row>
    <row r="30" s="12" customFormat="true" ht="15" hidden="false" customHeight="true" outlineLevel="0" collapsed="false">
      <c r="A30" s="51" t="str">
        <f aca="false">+A55</f>
        <v>1.3. Motorista Turno do Dia</v>
      </c>
      <c r="B30" s="52"/>
      <c r="C30" s="52"/>
      <c r="D30" s="53"/>
      <c r="E30" s="54" t="n">
        <v>2</v>
      </c>
      <c r="F30" s="2"/>
      <c r="G30" s="2"/>
      <c r="H30" s="10"/>
    </row>
    <row r="31" s="12" customFormat="true" ht="15" hidden="false" customHeight="true" outlineLevel="0" collapsed="false">
      <c r="A31" s="55" t="s">
        <v>10</v>
      </c>
      <c r="B31" s="56"/>
      <c r="C31" s="56"/>
      <c r="D31" s="57"/>
      <c r="E31" s="58" t="n">
        <f aca="false">SUM(E29:E30)</f>
        <v>6</v>
      </c>
      <c r="F31" s="2"/>
      <c r="G31" s="2"/>
      <c r="H31" s="10"/>
    </row>
    <row r="32" s="12" customFormat="true" ht="15" hidden="false" customHeight="true" outlineLevel="0" collapsed="false">
      <c r="A32" s="59"/>
      <c r="B32" s="60"/>
      <c r="C32" s="2"/>
      <c r="D32" s="2"/>
      <c r="E32" s="61"/>
      <c r="F32" s="2"/>
      <c r="G32" s="2"/>
      <c r="H32" s="10"/>
    </row>
    <row r="33" s="12" customFormat="true" ht="15" hidden="false" customHeight="true" outlineLevel="0" collapsed="false">
      <c r="A33" s="62" t="s">
        <v>11</v>
      </c>
      <c r="B33" s="62"/>
      <c r="C33" s="62"/>
      <c r="D33" s="62"/>
      <c r="E33" s="46" t="s">
        <v>9</v>
      </c>
      <c r="F33" s="1"/>
      <c r="G33" s="1"/>
      <c r="H33" s="10"/>
    </row>
    <row r="34" s="12" customFormat="true" ht="15" hidden="false" customHeight="true" outlineLevel="0" collapsed="false">
      <c r="A34" s="63" t="str">
        <f aca="false">A128</f>
        <v>3.1. Veículo Coletor Compactador 12 m³</v>
      </c>
      <c r="B34" s="64"/>
      <c r="C34" s="64"/>
      <c r="D34" s="65"/>
      <c r="E34" s="66" t="n">
        <v>1</v>
      </c>
      <c r="F34" s="1"/>
      <c r="G34" s="1"/>
      <c r="H34" s="10"/>
    </row>
    <row r="35" s="12" customFormat="true" ht="15" hidden="false" customHeight="true" outlineLevel="0" collapsed="false">
      <c r="A35" s="2"/>
      <c r="B35" s="2"/>
      <c r="C35" s="2"/>
      <c r="D35" s="67"/>
      <c r="E35" s="68"/>
      <c r="F35" s="1"/>
      <c r="G35" s="1"/>
      <c r="H35" s="10"/>
    </row>
    <row r="36" s="12" customFormat="true" ht="12.8" hidden="false" customHeight="false" outlineLevel="0" collapsed="false">
      <c r="A36" s="2"/>
      <c r="B36" s="2"/>
      <c r="C36" s="2"/>
      <c r="D36" s="67"/>
      <c r="E36" s="69"/>
      <c r="F36" s="1"/>
      <c r="G36" s="1"/>
      <c r="H36" s="10"/>
    </row>
    <row r="37" s="26" customFormat="true" ht="15.75" hidden="false" customHeight="true" outlineLevel="0" collapsed="false">
      <c r="A37" s="70" t="s">
        <v>12</v>
      </c>
      <c r="B37" s="71" t="n">
        <v>1</v>
      </c>
      <c r="C37" s="25"/>
      <c r="D37" s="72"/>
      <c r="E37" s="73"/>
      <c r="H37" s="25"/>
    </row>
    <row r="38" s="12" customFormat="true" ht="15.75" hidden="false" customHeight="true" outlineLevel="0" collapsed="false">
      <c r="A38" s="2"/>
      <c r="B38" s="2"/>
      <c r="C38" s="2"/>
      <c r="D38" s="67"/>
      <c r="E38" s="69"/>
      <c r="F38" s="1"/>
      <c r="G38" s="1"/>
      <c r="H38" s="10"/>
    </row>
    <row r="39" customFormat="false" ht="12.75" hidden="false" customHeight="true" outlineLevel="0" collapsed="false">
      <c r="A39" s="26" t="s">
        <v>13</v>
      </c>
    </row>
    <row r="40" customFormat="false" ht="11.25" hidden="false" customHeight="true" outlineLevel="0" collapsed="false">
      <c r="G40" s="74" t="s">
        <v>14</v>
      </c>
    </row>
    <row r="41" customFormat="false" ht="13.5" hidden="false" customHeight="true" outlineLevel="0" collapsed="false">
      <c r="A41" s="1" t="s">
        <v>15</v>
      </c>
      <c r="G41" s="75" t="n">
        <v>26.08</v>
      </c>
    </row>
    <row r="42" customFormat="false" ht="13.5" hidden="false" customHeight="true" outlineLevel="0" collapsed="false">
      <c r="A42" s="76" t="s">
        <v>16</v>
      </c>
      <c r="B42" s="77" t="s">
        <v>17</v>
      </c>
      <c r="C42" s="77" t="s">
        <v>9</v>
      </c>
      <c r="D42" s="78" t="s">
        <v>18</v>
      </c>
      <c r="E42" s="78" t="s">
        <v>19</v>
      </c>
      <c r="F42" s="79" t="s">
        <v>20</v>
      </c>
      <c r="G42" s="80" t="s">
        <v>21</v>
      </c>
    </row>
    <row r="43" customFormat="false" ht="12.75" hidden="false" customHeight="true" outlineLevel="0" collapsed="false">
      <c r="A43" s="81" t="s">
        <v>22</v>
      </c>
      <c r="B43" s="82" t="s">
        <v>23</v>
      </c>
      <c r="C43" s="82" t="n">
        <v>1</v>
      </c>
      <c r="D43" s="83" t="n">
        <v>1816.57</v>
      </c>
      <c r="E43" s="84" t="n">
        <f aca="false">C43*D43</f>
        <v>1816.57</v>
      </c>
      <c r="G43" s="85"/>
    </row>
    <row r="44" customFormat="false" ht="12.75" hidden="false" customHeight="false" outlineLevel="0" collapsed="false">
      <c r="A44" s="86" t="s">
        <v>24</v>
      </c>
      <c r="B44" s="87" t="s">
        <v>25</v>
      </c>
      <c r="C44" s="88" t="n">
        <v>7.33</v>
      </c>
      <c r="D44" s="89" t="n">
        <f aca="false">D43/220*2</f>
        <v>16.5142727272727</v>
      </c>
      <c r="E44" s="89" t="n">
        <f aca="false">C44*D44</f>
        <v>121.049619090909</v>
      </c>
      <c r="H44" s="2" t="s">
        <v>26</v>
      </c>
    </row>
    <row r="45" customFormat="false" ht="12.75" hidden="false" customHeight="true" outlineLevel="0" collapsed="false">
      <c r="A45" s="86" t="s">
        <v>27</v>
      </c>
      <c r="B45" s="87" t="s">
        <v>25</v>
      </c>
      <c r="C45" s="88"/>
      <c r="D45" s="89" t="n">
        <f aca="false">D43/220*1.5</f>
        <v>12.3857045454545</v>
      </c>
      <c r="E45" s="89" t="n">
        <f aca="false">C45*D45</f>
        <v>0</v>
      </c>
      <c r="H45" s="2" t="s">
        <v>28</v>
      </c>
    </row>
    <row r="46" customFormat="false" ht="12.75" hidden="false" customHeight="true" outlineLevel="0" collapsed="false">
      <c r="A46" s="86" t="s">
        <v>29</v>
      </c>
      <c r="B46" s="87" t="s">
        <v>30</v>
      </c>
      <c r="D46" s="89" t="n">
        <f aca="false">63/302*(SUM(E44:E45))</f>
        <v>25.2520728567128</v>
      </c>
      <c r="E46" s="89" t="n">
        <f aca="false">D46</f>
        <v>25.2520728567128</v>
      </c>
      <c r="H46" s="2" t="s">
        <v>31</v>
      </c>
    </row>
    <row r="47" customFormat="false" ht="12.8" hidden="false" customHeight="false" outlineLevel="0" collapsed="false">
      <c r="A47" s="86" t="s">
        <v>32</v>
      </c>
      <c r="B47" s="87" t="s">
        <v>5</v>
      </c>
      <c r="C47" s="87" t="n">
        <v>40</v>
      </c>
      <c r="D47" s="89" t="n">
        <f aca="false">SUM(E43:E46)</f>
        <v>1962.87169194762</v>
      </c>
      <c r="E47" s="89" t="n">
        <f aca="false">C47*D47/100</f>
        <v>785.148676779049</v>
      </c>
    </row>
    <row r="48" customFormat="false" ht="12.8" hidden="false" customHeight="false" outlineLevel="0" collapsed="false">
      <c r="A48" s="90" t="s">
        <v>33</v>
      </c>
      <c r="B48" s="91"/>
      <c r="C48" s="91"/>
      <c r="D48" s="92"/>
      <c r="E48" s="93" t="n">
        <f aca="false">SUM(E43:E47)</f>
        <v>2748.02036872667</v>
      </c>
    </row>
    <row r="49" customFormat="false" ht="12.8" hidden="false" customHeight="false" outlineLevel="0" collapsed="false">
      <c r="A49" s="86" t="s">
        <v>34</v>
      </c>
      <c r="B49" s="87" t="s">
        <v>5</v>
      </c>
      <c r="C49" s="94" t="n">
        <f aca="false">'2.Encargos Sociais'!$C$37*100</f>
        <v>70.595952</v>
      </c>
      <c r="D49" s="89" t="n">
        <f aca="false">E48</f>
        <v>2748.02036872667</v>
      </c>
      <c r="E49" s="89" t="n">
        <f aca="false">D49*C49/100</f>
        <v>1939.9911404565</v>
      </c>
    </row>
    <row r="50" customFormat="false" ht="12.8" hidden="false" customHeight="false" outlineLevel="0" collapsed="false">
      <c r="A50" s="90" t="s">
        <v>35</v>
      </c>
      <c r="B50" s="91"/>
      <c r="C50" s="91"/>
      <c r="D50" s="92"/>
      <c r="E50" s="93" t="n">
        <f aca="false">E48+E49</f>
        <v>4688.01150918317</v>
      </c>
    </row>
    <row r="51" customFormat="false" ht="12.8" hidden="false" customHeight="false" outlineLevel="0" collapsed="false">
      <c r="A51" s="86" t="s">
        <v>36</v>
      </c>
      <c r="B51" s="87" t="s">
        <v>37</v>
      </c>
      <c r="C51" s="95" t="n">
        <v>4</v>
      </c>
      <c r="D51" s="89" t="n">
        <f aca="false">E50</f>
        <v>4688.01150918317</v>
      </c>
      <c r="E51" s="96" t="n">
        <v>18752.04</v>
      </c>
      <c r="H51" s="10"/>
    </row>
    <row r="52" customFormat="false" ht="13.5" hidden="false" customHeight="true" outlineLevel="0" collapsed="false">
      <c r="D52" s="97" t="s">
        <v>38</v>
      </c>
      <c r="E52" s="98" t="n">
        <f aca="false">$B$37</f>
        <v>1</v>
      </c>
      <c r="F52" s="99" t="n">
        <f aca="false">E51*E52</f>
        <v>18752.04</v>
      </c>
      <c r="G52" s="99" t="n">
        <f aca="false">F52*(1+$G$41/100)</f>
        <v>23642.572032</v>
      </c>
      <c r="H52" s="10"/>
    </row>
    <row r="53" customFormat="false" ht="11.25" hidden="false" customHeight="true" outlineLevel="0" collapsed="false"/>
    <row r="54" customFormat="false" ht="11.25" hidden="false" customHeight="true" outlineLevel="0" collapsed="false"/>
    <row r="55" customFormat="false" ht="12.8" hidden="false" customHeight="false" outlineLevel="0" collapsed="false">
      <c r="A55" s="1" t="s">
        <v>39</v>
      </c>
    </row>
    <row r="56" s="101" customFormat="true" ht="12.75" hidden="false" customHeight="true" outlineLevel="0" collapsed="false">
      <c r="A56" s="76" t="s">
        <v>16</v>
      </c>
      <c r="B56" s="77" t="s">
        <v>17</v>
      </c>
      <c r="C56" s="77" t="s">
        <v>9</v>
      </c>
      <c r="D56" s="78" t="s">
        <v>18</v>
      </c>
      <c r="E56" s="78" t="s">
        <v>19</v>
      </c>
      <c r="F56" s="100" t="s">
        <v>40</v>
      </c>
      <c r="G56" s="100"/>
      <c r="H56" s="2"/>
    </row>
    <row r="57" customFormat="false" ht="12.75" hidden="false" customHeight="false" outlineLevel="0" collapsed="false">
      <c r="A57" s="81" t="s">
        <v>41</v>
      </c>
      <c r="B57" s="82" t="s">
        <v>23</v>
      </c>
      <c r="C57" s="82" t="n">
        <v>1</v>
      </c>
      <c r="D57" s="83" t="n">
        <v>2075.32</v>
      </c>
      <c r="E57" s="84" t="n">
        <f aca="false">C57*D57</f>
        <v>2075.32</v>
      </c>
    </row>
    <row r="58" customFormat="false" ht="12.75" hidden="false" customHeight="false" outlineLevel="0" collapsed="false">
      <c r="A58" s="81" t="s">
        <v>42</v>
      </c>
      <c r="B58" s="82" t="s">
        <v>23</v>
      </c>
      <c r="C58" s="82" t="n">
        <v>1</v>
      </c>
      <c r="D58" s="83" t="n">
        <v>1412</v>
      </c>
      <c r="E58" s="84"/>
    </row>
    <row r="59" customFormat="false" ht="12.75" hidden="false" customHeight="false" outlineLevel="0" collapsed="false">
      <c r="A59" s="86" t="s">
        <v>24</v>
      </c>
      <c r="B59" s="87" t="s">
        <v>25</v>
      </c>
      <c r="C59" s="88" t="n">
        <v>7.33</v>
      </c>
      <c r="D59" s="89" t="n">
        <f aca="false">D57/220*2</f>
        <v>18.8665454545455</v>
      </c>
      <c r="E59" s="89" t="n">
        <f aca="false">C59*D59</f>
        <v>138.291778181818</v>
      </c>
      <c r="H59" s="2" t="s">
        <v>26</v>
      </c>
    </row>
    <row r="60" customFormat="false" ht="12.75" hidden="false" customHeight="false" outlineLevel="0" collapsed="false">
      <c r="A60" s="86" t="s">
        <v>27</v>
      </c>
      <c r="B60" s="87" t="s">
        <v>25</v>
      </c>
      <c r="C60" s="88"/>
      <c r="D60" s="89" t="n">
        <f aca="false">D57/220*1.5</f>
        <v>14.1499090909091</v>
      </c>
      <c r="E60" s="89" t="n">
        <f aca="false">C60*D60</f>
        <v>0</v>
      </c>
      <c r="H60" s="2" t="s">
        <v>28</v>
      </c>
    </row>
    <row r="61" customFormat="false" ht="12.75" hidden="false" customHeight="true" outlineLevel="0" collapsed="false">
      <c r="A61" s="86" t="s">
        <v>29</v>
      </c>
      <c r="B61" s="87" t="s">
        <v>30</v>
      </c>
      <c r="D61" s="89" t="n">
        <f aca="false">63/302*(SUM(E59:E60))</f>
        <v>28.8489471041541</v>
      </c>
      <c r="E61" s="89" t="n">
        <f aca="false">D61</f>
        <v>28.8489471041541</v>
      </c>
      <c r="H61" s="2" t="s">
        <v>31</v>
      </c>
    </row>
    <row r="62" customFormat="false" ht="12.8" hidden="false" customHeight="false" outlineLevel="0" collapsed="false">
      <c r="A62" s="86" t="s">
        <v>43</v>
      </c>
      <c r="B62" s="87"/>
      <c r="C62" s="102" t="n">
        <v>1</v>
      </c>
      <c r="D62" s="89"/>
      <c r="E62" s="89"/>
    </row>
    <row r="63" customFormat="false" ht="12.8" hidden="false" customHeight="false" outlineLevel="0" collapsed="false">
      <c r="A63" s="86" t="s">
        <v>32</v>
      </c>
      <c r="B63" s="87" t="s">
        <v>5</v>
      </c>
      <c r="C63" s="95" t="n">
        <v>40</v>
      </c>
      <c r="D63" s="89" t="n">
        <f aca="false">IF(C62=2,SUM(E57:E61),IF(C62=1,(SUM(E57:E61))*D58/D57,0))</f>
        <v>1525.71870559904</v>
      </c>
      <c r="E63" s="89" t="n">
        <f aca="false">C63*D63/100</f>
        <v>610.287482239615</v>
      </c>
    </row>
    <row r="64" s="26" customFormat="true" ht="12.8" hidden="false" customHeight="false" outlineLevel="0" collapsed="false">
      <c r="A64" s="103" t="s">
        <v>33</v>
      </c>
      <c r="B64" s="91"/>
      <c r="C64" s="91"/>
      <c r="D64" s="92"/>
      <c r="E64" s="104" t="n">
        <f aca="false">SUM(E57:E63)</f>
        <v>2852.74820752559</v>
      </c>
      <c r="F64" s="25"/>
      <c r="G64" s="25"/>
      <c r="H64" s="25"/>
    </row>
    <row r="65" customFormat="false" ht="12.8" hidden="false" customHeight="false" outlineLevel="0" collapsed="false">
      <c r="A65" s="86" t="s">
        <v>34</v>
      </c>
      <c r="B65" s="87" t="s">
        <v>5</v>
      </c>
      <c r="C65" s="94" t="n">
        <f aca="false">'2.Encargos Sociais'!$C$37*100</f>
        <v>70.595952</v>
      </c>
      <c r="D65" s="89" t="n">
        <f aca="false">E64</f>
        <v>2852.74820752559</v>
      </c>
      <c r="E65" s="89" t="n">
        <f aca="false">D65*C65/100</f>
        <v>2013.92475526562</v>
      </c>
    </row>
    <row r="66" s="26" customFormat="true" ht="12.8" hidden="false" customHeight="false" outlineLevel="0" collapsed="false">
      <c r="A66" s="103" t="s">
        <v>44</v>
      </c>
      <c r="B66" s="105"/>
      <c r="C66" s="105"/>
      <c r="D66" s="106"/>
      <c r="E66" s="104" t="n">
        <f aca="false">E64+E65</f>
        <v>4866.67296279121</v>
      </c>
      <c r="F66" s="25"/>
      <c r="G66" s="25"/>
      <c r="H66" s="25"/>
    </row>
    <row r="67" customFormat="false" ht="12.8" hidden="false" customHeight="false" outlineLevel="0" collapsed="false">
      <c r="A67" s="86" t="s">
        <v>36</v>
      </c>
      <c r="B67" s="87" t="s">
        <v>37</v>
      </c>
      <c r="C67" s="95" t="n">
        <v>2</v>
      </c>
      <c r="D67" s="89" t="n">
        <f aca="false">E66</f>
        <v>4866.67296279121</v>
      </c>
      <c r="E67" s="89" t="n">
        <v>9733.34</v>
      </c>
    </row>
    <row r="68" customFormat="false" ht="12.8" hidden="false" customHeight="false" outlineLevel="0" collapsed="false">
      <c r="C68" s="1" t="n">
        <v>4.5</v>
      </c>
      <c r="D68" s="97" t="s">
        <v>38</v>
      </c>
      <c r="E68" s="98" t="n">
        <f aca="false">$B$37</f>
        <v>1</v>
      </c>
      <c r="F68" s="99" t="n">
        <f aca="false">E67*E68</f>
        <v>9733.34</v>
      </c>
      <c r="G68" s="99" t="n">
        <f aca="false">F68*(1+$G$41/100)</f>
        <v>12271.795072</v>
      </c>
    </row>
    <row r="69" customFormat="false" ht="11.25" hidden="false" customHeight="true" outlineLevel="0" collapsed="false"/>
    <row r="70" customFormat="false" ht="11.25" hidden="false" customHeight="true" outlineLevel="0" collapsed="false">
      <c r="H70" s="1"/>
    </row>
    <row r="71" s="1" customFormat="true" ht="12.8" hidden="false" customHeight="false" outlineLevel="0" collapsed="false">
      <c r="A71" s="1" t="s">
        <v>45</v>
      </c>
      <c r="B71" s="107"/>
      <c r="F71" s="2"/>
      <c r="G71" s="2"/>
    </row>
    <row r="72" s="1" customFormat="true" ht="12.8" hidden="false" customHeight="false" outlineLevel="0" collapsed="false">
      <c r="A72" s="76" t="s">
        <v>16</v>
      </c>
      <c r="B72" s="77" t="s">
        <v>17</v>
      </c>
      <c r="C72" s="77" t="s">
        <v>9</v>
      </c>
      <c r="D72" s="78" t="s">
        <v>18</v>
      </c>
      <c r="E72" s="78" t="s">
        <v>19</v>
      </c>
      <c r="F72" s="100" t="s">
        <v>40</v>
      </c>
      <c r="G72" s="100"/>
    </row>
    <row r="73" customFormat="false" ht="12.8" hidden="false" customHeight="false" outlineLevel="0" collapsed="false">
      <c r="A73" s="86" t="s">
        <v>46</v>
      </c>
      <c r="B73" s="87" t="s">
        <v>30</v>
      </c>
      <c r="C73" s="108" t="n">
        <v>1</v>
      </c>
      <c r="D73" s="109" t="n">
        <v>4.45</v>
      </c>
      <c r="E73" s="89"/>
      <c r="H73" s="1"/>
    </row>
    <row r="74" customFormat="false" ht="12.8" hidden="false" customHeight="false" outlineLevel="0" collapsed="false">
      <c r="A74" s="86" t="s">
        <v>47</v>
      </c>
      <c r="B74" s="87" t="s">
        <v>48</v>
      </c>
      <c r="C74" s="110" t="n">
        <v>26</v>
      </c>
      <c r="D74" s="89"/>
      <c r="E74" s="89"/>
      <c r="H74" s="1"/>
    </row>
    <row r="75" customFormat="false" ht="12.8" hidden="false" customHeight="false" outlineLevel="0" collapsed="false">
      <c r="A75" s="86" t="s">
        <v>49</v>
      </c>
      <c r="B75" s="87" t="s">
        <v>50</v>
      </c>
      <c r="C75" s="111" t="n">
        <v>208</v>
      </c>
      <c r="D75" s="84" t="n">
        <f aca="false">IFERROR((($C$74*2*$D$73)-(E43*0.06*C74/26))/($C$74*2),"-")</f>
        <v>2.35395769230769</v>
      </c>
      <c r="E75" s="89" t="n">
        <f aca="false">IFERROR(C75*D75,"-")</f>
        <v>489.6232</v>
      </c>
      <c r="H75" s="1"/>
    </row>
    <row r="76" customFormat="false" ht="12.8" hidden="false" customHeight="false" outlineLevel="0" collapsed="false">
      <c r="A76" s="81" t="s">
        <v>51</v>
      </c>
      <c r="B76" s="82" t="s">
        <v>50</v>
      </c>
      <c r="C76" s="111" t="n">
        <f aca="false">$C$74*2*(C67)</f>
        <v>104</v>
      </c>
      <c r="D76" s="84" t="n">
        <f aca="false">IFERROR((($C$74*2*$D$73)-(E57*0.06*C74/26))/($C$74*2),"-")</f>
        <v>2.0554</v>
      </c>
      <c r="E76" s="84" t="n">
        <f aca="false">IFERROR(C76*D76,"-")</f>
        <v>213.7616</v>
      </c>
      <c r="H76" s="1"/>
    </row>
    <row r="77" customFormat="false" ht="12.8" hidden="false" customHeight="false" outlineLevel="0" collapsed="false">
      <c r="F77" s="112" t="n">
        <f aca="false">SUM(E75:E76)</f>
        <v>703.3848</v>
      </c>
      <c r="G77" s="112" t="n">
        <f aca="false">F77*(1+$G$41/100)</f>
        <v>886.82755584</v>
      </c>
      <c r="H77" s="1"/>
    </row>
    <row r="78" customFormat="false" ht="11.25" hidden="false" customHeight="true" outlineLevel="0" collapsed="false">
      <c r="H78" s="1"/>
    </row>
    <row r="79" customFormat="false" ht="12.8" hidden="false" customHeight="false" outlineLevel="0" collapsed="false">
      <c r="A79" s="1" t="s">
        <v>52</v>
      </c>
      <c r="F79" s="25"/>
      <c r="G79" s="25"/>
      <c r="H79" s="1"/>
    </row>
    <row r="80" s="1" customFormat="true" ht="12.8" hidden="false" customHeight="false" outlineLevel="0" collapsed="false">
      <c r="A80" s="76" t="s">
        <v>16</v>
      </c>
      <c r="B80" s="77" t="s">
        <v>17</v>
      </c>
      <c r="C80" s="77" t="s">
        <v>9</v>
      </c>
      <c r="D80" s="78" t="s">
        <v>18</v>
      </c>
      <c r="E80" s="78" t="s">
        <v>19</v>
      </c>
      <c r="F80" s="100" t="s">
        <v>40</v>
      </c>
      <c r="G80" s="100"/>
    </row>
    <row r="81" s="1" customFormat="true" ht="12.8" hidden="false" customHeight="false" outlineLevel="0" collapsed="false">
      <c r="A81" s="86" t="str">
        <f aca="false">+A75</f>
        <v>Coletor</v>
      </c>
      <c r="B81" s="87" t="s">
        <v>53</v>
      </c>
      <c r="C81" s="111" t="n">
        <f aca="false">C74*(E29)</f>
        <v>104</v>
      </c>
      <c r="D81" s="113" t="n">
        <v>19.18</v>
      </c>
      <c r="E81" s="98" t="n">
        <f aca="false">C81*D81</f>
        <v>1994.72</v>
      </c>
      <c r="F81" s="25"/>
      <c r="G81" s="25"/>
    </row>
    <row r="82" s="1" customFormat="true" ht="12.8" hidden="false" customHeight="false" outlineLevel="0" collapsed="false">
      <c r="A82" s="86" t="str">
        <f aca="false">+A76</f>
        <v>Motorista</v>
      </c>
      <c r="B82" s="87" t="s">
        <v>53</v>
      </c>
      <c r="C82" s="111" t="n">
        <f aca="false">C74*(E30)</f>
        <v>52</v>
      </c>
      <c r="D82" s="113" t="n">
        <v>13.22</v>
      </c>
      <c r="E82" s="98" t="n">
        <f aca="false">C82*D82</f>
        <v>687.44</v>
      </c>
      <c r="F82" s="25"/>
      <c r="G82" s="25"/>
    </row>
    <row r="83" customFormat="false" ht="12.8" hidden="false" customHeight="false" outlineLevel="0" collapsed="false">
      <c r="F83" s="112" t="n">
        <f aca="false">SUM(E81:E82)</f>
        <v>2682.16</v>
      </c>
      <c r="G83" s="112" t="n">
        <f aca="false">F83*(1+$G$41/100)</f>
        <v>3381.667328</v>
      </c>
      <c r="H83" s="1"/>
    </row>
    <row r="84" customFormat="false" ht="12.8" hidden="false" customHeight="false" outlineLevel="0" collapsed="false">
      <c r="H84" s="1"/>
    </row>
    <row r="85" customFormat="false" ht="12.8" hidden="false" customHeight="false" outlineLevel="0" collapsed="false">
      <c r="A85" s="1" t="s">
        <v>54</v>
      </c>
      <c r="F85" s="25"/>
      <c r="G85" s="25"/>
      <c r="H85" s="1"/>
    </row>
    <row r="86" s="1" customFormat="true" ht="12.8" hidden="false" customHeight="false" outlineLevel="0" collapsed="false">
      <c r="A86" s="76" t="s">
        <v>16</v>
      </c>
      <c r="B86" s="77" t="s">
        <v>17</v>
      </c>
      <c r="C86" s="77" t="s">
        <v>9</v>
      </c>
      <c r="D86" s="78" t="s">
        <v>18</v>
      </c>
      <c r="E86" s="78" t="s">
        <v>19</v>
      </c>
      <c r="F86" s="100" t="s">
        <v>40</v>
      </c>
      <c r="G86" s="100"/>
    </row>
    <row r="87" s="1" customFormat="true" ht="12.8" hidden="false" customHeight="false" outlineLevel="0" collapsed="false">
      <c r="A87" s="86" t="str">
        <f aca="false">+A82</f>
        <v>Motorista</v>
      </c>
      <c r="B87" s="87" t="s">
        <v>53</v>
      </c>
      <c r="C87" s="111" t="n">
        <f aca="false">E30</f>
        <v>2</v>
      </c>
      <c r="D87" s="113" t="n">
        <v>100.28</v>
      </c>
      <c r="E87" s="98" t="n">
        <f aca="false">C87*D87</f>
        <v>200.56</v>
      </c>
      <c r="F87" s="25"/>
      <c r="G87" s="25"/>
    </row>
    <row r="88" s="1" customFormat="true" ht="12.8" hidden="false" customHeight="false" outlineLevel="0" collapsed="false">
      <c r="D88" s="97" t="s">
        <v>38</v>
      </c>
      <c r="E88" s="98" t="n">
        <f aca="false">$B$37</f>
        <v>1</v>
      </c>
      <c r="F88" s="112" t="n">
        <f aca="false">SUM(E87:E87)*E88</f>
        <v>200.56</v>
      </c>
      <c r="G88" s="112" t="n">
        <f aca="false">F88*(1+$G$41/100)</f>
        <v>252.866048</v>
      </c>
    </row>
    <row r="89" customFormat="false" ht="12.8" hidden="false" customHeight="false" outlineLevel="0" collapsed="false">
      <c r="H89" s="1"/>
    </row>
    <row r="90" s="1" customFormat="true" ht="12.8" hidden="false" customHeight="false" outlineLevel="0" collapsed="false">
      <c r="A90" s="114" t="s">
        <v>55</v>
      </c>
      <c r="B90" s="115"/>
      <c r="C90" s="115"/>
      <c r="D90" s="41"/>
      <c r="E90" s="116"/>
      <c r="F90" s="112" t="n">
        <f aca="false">F68+F77+F83+F88+F52</f>
        <v>32071.4848</v>
      </c>
      <c r="G90" s="112" t="n">
        <f aca="false">F90*(1+$G$41/100)</f>
        <v>40435.72803584</v>
      </c>
    </row>
    <row r="91" customFormat="false" ht="12.8" hidden="false" customHeight="false" outlineLevel="0" collapsed="false"/>
    <row r="92" customFormat="false" ht="12.8" hidden="false" customHeight="false" outlineLevel="0" collapsed="false">
      <c r="A92" s="26" t="s">
        <v>56</v>
      </c>
      <c r="H92" s="1"/>
    </row>
    <row r="93" customFormat="false" ht="11.25" hidden="false" customHeight="true" outlineLevel="0" collapsed="false">
      <c r="H93" s="1"/>
    </row>
    <row r="94" customFormat="false" ht="13.5" hidden="false" customHeight="true" outlineLevel="0" collapsed="false">
      <c r="A94" s="1" t="s">
        <v>57</v>
      </c>
      <c r="H94" s="1"/>
    </row>
    <row r="95" customFormat="false" ht="11.25" hidden="false" customHeight="true" outlineLevel="0" collapsed="false">
      <c r="H95" s="1"/>
    </row>
    <row r="96" s="1" customFormat="true" ht="27.75" hidden="false" customHeight="true" outlineLevel="0" collapsed="false">
      <c r="A96" s="76" t="s">
        <v>16</v>
      </c>
      <c r="B96" s="77" t="s">
        <v>17</v>
      </c>
      <c r="C96" s="117" t="s">
        <v>58</v>
      </c>
      <c r="D96" s="78" t="s">
        <v>18</v>
      </c>
      <c r="E96" s="78" t="s">
        <v>19</v>
      </c>
      <c r="F96" s="100" t="s">
        <v>40</v>
      </c>
      <c r="G96" s="100"/>
    </row>
    <row r="97" customFormat="false" ht="12.75" hidden="false" customHeight="false" outlineLevel="0" collapsed="false">
      <c r="A97" s="81" t="s">
        <v>59</v>
      </c>
      <c r="B97" s="82" t="s">
        <v>53</v>
      </c>
      <c r="C97" s="118" t="n">
        <v>6</v>
      </c>
      <c r="D97" s="83" t="n">
        <v>145</v>
      </c>
      <c r="E97" s="84" t="n">
        <f aca="false">IFERROR(D97/C97,0)</f>
        <v>24.1666666666667</v>
      </c>
      <c r="H97" s="1"/>
    </row>
    <row r="98" customFormat="false" ht="12.75" hidden="false" customHeight="true" outlineLevel="0" collapsed="false">
      <c r="A98" s="86" t="s">
        <v>60</v>
      </c>
      <c r="B98" s="87" t="s">
        <v>53</v>
      </c>
      <c r="C98" s="118" t="n">
        <v>4</v>
      </c>
      <c r="D98" s="83" t="n">
        <v>67.9</v>
      </c>
      <c r="E98" s="84" t="n">
        <f aca="false">IFERROR(D98/C98,0)</f>
        <v>16.975</v>
      </c>
      <c r="H98" s="1"/>
    </row>
    <row r="99" customFormat="false" ht="12.75" hidden="false" customHeight="false" outlineLevel="0" collapsed="false">
      <c r="A99" s="86" t="s">
        <v>61</v>
      </c>
      <c r="B99" s="87" t="s">
        <v>53</v>
      </c>
      <c r="C99" s="118" t="n">
        <v>4</v>
      </c>
      <c r="D99" s="83" t="n">
        <v>38.9</v>
      </c>
      <c r="E99" s="84" t="n">
        <f aca="false">IFERROR(D99/C99,0)</f>
        <v>9.725</v>
      </c>
      <c r="H99" s="1"/>
    </row>
    <row r="100" customFormat="false" ht="12.75" hidden="false" customHeight="true" outlineLevel="0" collapsed="false">
      <c r="A100" s="86" t="s">
        <v>62</v>
      </c>
      <c r="B100" s="87" t="s">
        <v>53</v>
      </c>
      <c r="C100" s="118" t="n">
        <v>6</v>
      </c>
      <c r="D100" s="83" t="n">
        <v>12.83</v>
      </c>
      <c r="E100" s="84" t="n">
        <f aca="false">IFERROR(D100/C100,0)</f>
        <v>2.13833333333333</v>
      </c>
      <c r="H100" s="1"/>
    </row>
    <row r="101" customFormat="false" ht="13.5" hidden="false" customHeight="true" outlineLevel="0" collapsed="false">
      <c r="A101" s="86" t="s">
        <v>63</v>
      </c>
      <c r="B101" s="87" t="s">
        <v>64</v>
      </c>
      <c r="C101" s="118" t="n">
        <v>6</v>
      </c>
      <c r="D101" s="83" t="n">
        <v>70.16</v>
      </c>
      <c r="E101" s="84" t="n">
        <f aca="false">IFERROR(D101/C101,0)</f>
        <v>11.6933333333333</v>
      </c>
      <c r="H101" s="1"/>
    </row>
    <row r="102" customFormat="false" ht="12.75" hidden="false" customHeight="true" outlineLevel="0" collapsed="false">
      <c r="A102" s="86" t="s">
        <v>65</v>
      </c>
      <c r="B102" s="87" t="s">
        <v>64</v>
      </c>
      <c r="C102" s="118" t="n">
        <v>4</v>
      </c>
      <c r="D102" s="83" t="n">
        <v>18.97</v>
      </c>
      <c r="E102" s="84" t="n">
        <f aca="false">IFERROR(D102/C102,0)</f>
        <v>4.7425</v>
      </c>
    </row>
    <row r="103" customFormat="false" ht="12.75" hidden="false" customHeight="false" outlineLevel="0" collapsed="false">
      <c r="A103" s="86" t="s">
        <v>66</v>
      </c>
      <c r="B103" s="87" t="s">
        <v>53</v>
      </c>
      <c r="C103" s="118" t="n">
        <v>6</v>
      </c>
      <c r="D103" s="83" t="n">
        <v>43.98</v>
      </c>
      <c r="E103" s="84" t="n">
        <f aca="false">IFERROR(D103/C103,0)</f>
        <v>7.33</v>
      </c>
    </row>
    <row r="104" s="122" customFormat="true" ht="12.75" hidden="false" customHeight="false" outlineLevel="0" collapsed="false">
      <c r="A104" s="119" t="s">
        <v>67</v>
      </c>
      <c r="B104" s="120" t="s">
        <v>53</v>
      </c>
      <c r="C104" s="118" t="n">
        <v>6</v>
      </c>
      <c r="D104" s="83" t="n">
        <v>16.2</v>
      </c>
      <c r="E104" s="84" t="n">
        <f aca="false">IFERROR(D104/C104,0)</f>
        <v>2.7</v>
      </c>
      <c r="F104" s="121"/>
      <c r="G104" s="121"/>
      <c r="H104" s="121"/>
    </row>
    <row r="105" customFormat="false" ht="12.75" hidden="false" customHeight="false" outlineLevel="0" collapsed="false">
      <c r="A105" s="86" t="s">
        <v>68</v>
      </c>
      <c r="B105" s="87" t="s">
        <v>64</v>
      </c>
      <c r="C105" s="118" t="n">
        <v>0.25</v>
      </c>
      <c r="D105" s="83" t="n">
        <v>17.42</v>
      </c>
      <c r="E105" s="84" t="n">
        <f aca="false">IFERROR(D105/C105,0)</f>
        <v>69.68</v>
      </c>
    </row>
    <row r="106" customFormat="false" ht="12.75" hidden="false" customHeight="true" outlineLevel="0" collapsed="false">
      <c r="A106" s="86" t="s">
        <v>69</v>
      </c>
      <c r="B106" s="87" t="s">
        <v>70</v>
      </c>
      <c r="C106" s="118" t="n">
        <v>4</v>
      </c>
      <c r="D106" s="83" t="n">
        <v>13.39</v>
      </c>
      <c r="E106" s="84" t="n">
        <f aca="false">IFERROR(D106/C106,0)</f>
        <v>3.3475</v>
      </c>
    </row>
    <row r="107" customFormat="false" ht="12.8" hidden="false" customHeight="false" outlineLevel="0" collapsed="false">
      <c r="A107" s="86" t="s">
        <v>71</v>
      </c>
      <c r="B107" s="87" t="s">
        <v>72</v>
      </c>
      <c r="C107" s="123" t="n">
        <v>1</v>
      </c>
      <c r="D107" s="83" t="n">
        <v>64.35</v>
      </c>
      <c r="E107" s="89" t="n">
        <f aca="false">C107*D107</f>
        <v>64.35</v>
      </c>
    </row>
    <row r="108" customFormat="false" ht="12.8" hidden="false" customHeight="false" outlineLevel="0" collapsed="false">
      <c r="A108" s="86" t="s">
        <v>36</v>
      </c>
      <c r="B108" s="87" t="s">
        <v>37</v>
      </c>
      <c r="C108" s="123" t="n">
        <f aca="false">E29</f>
        <v>4</v>
      </c>
      <c r="D108" s="89" t="n">
        <f aca="false">+SUM(E97:E107)</f>
        <v>216.848333333333</v>
      </c>
      <c r="E108" s="89" t="n">
        <v>886.6</v>
      </c>
    </row>
    <row r="109" customFormat="false" ht="12.8" hidden="false" customHeight="false" outlineLevel="0" collapsed="false">
      <c r="D109" s="97" t="s">
        <v>38</v>
      </c>
      <c r="E109" s="98" t="n">
        <f aca="false">$B$37</f>
        <v>1</v>
      </c>
      <c r="F109" s="99" t="n">
        <f aca="false">E108*E109</f>
        <v>886.6</v>
      </c>
      <c r="G109" s="99" t="n">
        <f aca="false">F109*(1+$G$41/100)</f>
        <v>1117.82528</v>
      </c>
    </row>
    <row r="110" customFormat="false" ht="11.25" hidden="false" customHeight="true" outlineLevel="0" collapsed="false"/>
    <row r="111" customFormat="false" ht="13.5" hidden="false" customHeight="true" outlineLevel="0" collapsed="false">
      <c r="A111" s="1" t="s">
        <v>73</v>
      </c>
    </row>
    <row r="112" customFormat="false" ht="11.25" hidden="false" customHeight="true" outlineLevel="0" collapsed="false"/>
    <row r="113" customFormat="false" ht="22.35" hidden="false" customHeight="false" outlineLevel="0" collapsed="false">
      <c r="A113" s="76" t="s">
        <v>16</v>
      </c>
      <c r="B113" s="77" t="s">
        <v>17</v>
      </c>
      <c r="C113" s="117" t="s">
        <v>58</v>
      </c>
      <c r="D113" s="78" t="s">
        <v>18</v>
      </c>
      <c r="E113" s="78" t="s">
        <v>19</v>
      </c>
      <c r="F113" s="100" t="s">
        <v>40</v>
      </c>
      <c r="G113" s="100"/>
    </row>
    <row r="114" customFormat="false" ht="12.8" hidden="false" customHeight="false" outlineLevel="0" collapsed="false">
      <c r="A114" s="81" t="s">
        <v>59</v>
      </c>
      <c r="B114" s="82" t="s">
        <v>53</v>
      </c>
      <c r="C114" s="118" t="n">
        <v>6</v>
      </c>
      <c r="D114" s="84" t="n">
        <f aca="false">+D97</f>
        <v>145</v>
      </c>
      <c r="E114" s="84" t="n">
        <f aca="false">IFERROR(D114/C114,0)</f>
        <v>24.1666666666667</v>
      </c>
    </row>
    <row r="115" customFormat="false" ht="12.8" hidden="false" customHeight="false" outlineLevel="0" collapsed="false">
      <c r="A115" s="86" t="s">
        <v>60</v>
      </c>
      <c r="B115" s="87" t="s">
        <v>53</v>
      </c>
      <c r="C115" s="118" t="n">
        <v>6</v>
      </c>
      <c r="D115" s="89" t="n">
        <f aca="false">+D98</f>
        <v>67.9</v>
      </c>
      <c r="E115" s="84" t="n">
        <f aca="false">IFERROR(D115/C115,0)</f>
        <v>11.3166666666667</v>
      </c>
    </row>
    <row r="116" customFormat="false" ht="12.8" hidden="false" customHeight="false" outlineLevel="0" collapsed="false">
      <c r="A116" s="86" t="s">
        <v>61</v>
      </c>
      <c r="B116" s="87" t="s">
        <v>53</v>
      </c>
      <c r="C116" s="118" t="n">
        <v>4</v>
      </c>
      <c r="D116" s="89" t="n">
        <f aca="false">+D99</f>
        <v>38.9</v>
      </c>
      <c r="E116" s="84" t="n">
        <f aca="false">IFERROR(D116/C116,0)</f>
        <v>9.725</v>
      </c>
    </row>
    <row r="117" customFormat="false" ht="12.8" hidden="false" customHeight="false" outlineLevel="0" collapsed="false">
      <c r="A117" s="86" t="s">
        <v>63</v>
      </c>
      <c r="B117" s="87" t="s">
        <v>64</v>
      </c>
      <c r="C117" s="118" t="n">
        <v>6</v>
      </c>
      <c r="D117" s="89" t="n">
        <f aca="false">+D101</f>
        <v>70.16</v>
      </c>
      <c r="E117" s="84" t="n">
        <f aca="false">IFERROR(D117/C117,0)</f>
        <v>11.6933333333333</v>
      </c>
    </row>
    <row r="118" customFormat="false" ht="12.8" hidden="false" customHeight="false" outlineLevel="0" collapsed="false">
      <c r="A118" s="86" t="s">
        <v>66</v>
      </c>
      <c r="B118" s="87" t="s">
        <v>53</v>
      </c>
      <c r="C118" s="118" t="n">
        <v>4</v>
      </c>
      <c r="D118" s="89" t="n">
        <f aca="false">+D103</f>
        <v>43.98</v>
      </c>
      <c r="E118" s="84" t="n">
        <f aca="false">IFERROR(D118/C118,0)</f>
        <v>10.995</v>
      </c>
      <c r="H118" s="1"/>
    </row>
    <row r="119" customFormat="false" ht="12.8" hidden="false" customHeight="false" outlineLevel="0" collapsed="false">
      <c r="A119" s="86" t="s">
        <v>69</v>
      </c>
      <c r="B119" s="87" t="s">
        <v>70</v>
      </c>
      <c r="C119" s="118" t="n">
        <v>6</v>
      </c>
      <c r="D119" s="89" t="n">
        <f aca="false">+D106</f>
        <v>13.39</v>
      </c>
      <c r="E119" s="84" t="n">
        <f aca="false">IFERROR(D119/C119,0)</f>
        <v>2.23166666666667</v>
      </c>
      <c r="H119" s="1"/>
    </row>
    <row r="120" customFormat="false" ht="12.8" hidden="false" customHeight="false" outlineLevel="0" collapsed="false">
      <c r="A120" s="86" t="s">
        <v>71</v>
      </c>
      <c r="B120" s="87" t="s">
        <v>72</v>
      </c>
      <c r="C120" s="123" t="n">
        <v>1</v>
      </c>
      <c r="D120" s="83" t="n">
        <v>43.37</v>
      </c>
      <c r="E120" s="89" t="n">
        <f aca="false">C120*D120</f>
        <v>43.37</v>
      </c>
      <c r="H120" s="1"/>
    </row>
    <row r="121" customFormat="false" ht="12.8" hidden="false" customHeight="false" outlineLevel="0" collapsed="false">
      <c r="A121" s="86" t="s">
        <v>36</v>
      </c>
      <c r="B121" s="87" t="s">
        <v>37</v>
      </c>
      <c r="C121" s="123" t="n">
        <f aca="false">E30</f>
        <v>2</v>
      </c>
      <c r="D121" s="89" t="n">
        <f aca="false">+SUM(E114:E120)</f>
        <v>113.498333333333</v>
      </c>
      <c r="E121" s="89" t="n">
        <f aca="false">C121*D121</f>
        <v>226.996666666666</v>
      </c>
      <c r="H121" s="1"/>
    </row>
    <row r="122" s="1" customFormat="true" ht="12.8" hidden="false" customHeight="false" outlineLevel="0" collapsed="false">
      <c r="D122" s="97" t="s">
        <v>38</v>
      </c>
      <c r="E122" s="98" t="n">
        <f aca="false">$B$37</f>
        <v>1</v>
      </c>
      <c r="F122" s="99" t="n">
        <f aca="false">E121*E122</f>
        <v>226.996666666666</v>
      </c>
      <c r="G122" s="99" t="n">
        <f aca="false">F122*(1+$G$41/100)</f>
        <v>286.197397333332</v>
      </c>
    </row>
    <row r="123" customFormat="false" ht="11.25" hidden="false" customHeight="true" outlineLevel="0" collapsed="false">
      <c r="H123" s="1"/>
    </row>
    <row r="124" s="1" customFormat="true" ht="12.8" hidden="false" customHeight="false" outlineLevel="0" collapsed="false">
      <c r="A124" s="114" t="s">
        <v>74</v>
      </c>
      <c r="B124" s="124"/>
      <c r="C124" s="124"/>
      <c r="D124" s="125"/>
      <c r="E124" s="126"/>
      <c r="F124" s="127" t="n">
        <f aca="false">+F109+F122</f>
        <v>1113.59666666667</v>
      </c>
      <c r="G124" s="127" t="n">
        <f aca="false">G109+G122</f>
        <v>1404.02267733333</v>
      </c>
    </row>
    <row r="125" customFormat="false" ht="11.25" hidden="false" customHeight="true" outlineLevel="0" collapsed="false">
      <c r="H125" s="1"/>
    </row>
    <row r="126" customFormat="false" ht="12.75" hidden="false" customHeight="false" outlineLevel="0" collapsed="false">
      <c r="A126" s="26" t="s">
        <v>75</v>
      </c>
      <c r="H126" s="1"/>
    </row>
    <row r="127" customFormat="false" ht="11.25" hidden="false" customHeight="true" outlineLevel="0" collapsed="false">
      <c r="B127" s="128"/>
      <c r="H127" s="1"/>
    </row>
    <row r="128" customFormat="false" ht="12.75" hidden="false" customHeight="false" outlineLevel="0" collapsed="false">
      <c r="A128" s="1" t="s">
        <v>76</v>
      </c>
      <c r="H128" s="1"/>
    </row>
    <row r="129" customFormat="false" ht="11.25" hidden="false" customHeight="true" outlineLevel="0" collapsed="false">
      <c r="H129" s="1"/>
    </row>
    <row r="130" customFormat="false" ht="12.8" hidden="false" customHeight="false" outlineLevel="0" collapsed="false">
      <c r="A130" s="128" t="s">
        <v>77</v>
      </c>
      <c r="H130" s="1"/>
    </row>
    <row r="131" s="1" customFormat="true" ht="12.8" hidden="false" customHeight="false" outlineLevel="0" collapsed="false">
      <c r="A131" s="76" t="s">
        <v>16</v>
      </c>
      <c r="B131" s="77" t="s">
        <v>17</v>
      </c>
      <c r="C131" s="77" t="s">
        <v>9</v>
      </c>
      <c r="D131" s="78" t="s">
        <v>18</v>
      </c>
      <c r="E131" s="78" t="s">
        <v>19</v>
      </c>
      <c r="F131" s="100" t="s">
        <v>40</v>
      </c>
      <c r="G131" s="100"/>
    </row>
    <row r="132" customFormat="false" ht="12.8" hidden="false" customHeight="false" outlineLevel="0" collapsed="false">
      <c r="A132" s="81" t="s">
        <v>78</v>
      </c>
      <c r="B132" s="82" t="s">
        <v>53</v>
      </c>
      <c r="C132" s="82" t="n">
        <v>1</v>
      </c>
      <c r="D132" s="83" t="n">
        <v>524275.34</v>
      </c>
      <c r="E132" s="84" t="n">
        <f aca="false">C132*D132</f>
        <v>524275.34</v>
      </c>
      <c r="H132" s="1"/>
    </row>
    <row r="133" customFormat="false" ht="12.8" hidden="false" customHeight="false" outlineLevel="0" collapsed="false">
      <c r="A133" s="86" t="s">
        <v>79</v>
      </c>
      <c r="B133" s="87" t="s">
        <v>80</v>
      </c>
      <c r="C133" s="95" t="n">
        <v>10</v>
      </c>
      <c r="D133" s="89"/>
      <c r="E133" s="89"/>
      <c r="H133" s="1"/>
    </row>
    <row r="134" customFormat="false" ht="12.8" hidden="false" customHeight="false" outlineLevel="0" collapsed="false">
      <c r="A134" s="86" t="s">
        <v>81</v>
      </c>
      <c r="B134" s="87" t="s">
        <v>80</v>
      </c>
      <c r="C134" s="95" t="n">
        <v>0</v>
      </c>
      <c r="D134" s="89"/>
      <c r="E134" s="89"/>
      <c r="F134" s="129"/>
      <c r="G134" s="129"/>
      <c r="J134" s="130"/>
      <c r="K134" s="130"/>
    </row>
    <row r="135" customFormat="false" ht="12.8" hidden="false" customHeight="false" outlineLevel="0" collapsed="false">
      <c r="A135" s="86" t="s">
        <v>82</v>
      </c>
      <c r="B135" s="87" t="s">
        <v>5</v>
      </c>
      <c r="C135" s="94" t="n">
        <f aca="false">IFERROR(VLOOKUP(C133,'5. Depreciação'!A3:B17,2,FALSE()),0)</f>
        <v>65.18</v>
      </c>
      <c r="D135" s="89" t="n">
        <f aca="false">E132</f>
        <v>524275.34</v>
      </c>
      <c r="E135" s="89" t="n">
        <f aca="false">C135*D135/100</f>
        <v>341722.666612</v>
      </c>
    </row>
    <row r="136" customFormat="false" ht="12.8" hidden="false" customHeight="false" outlineLevel="0" collapsed="false">
      <c r="A136" s="131" t="s">
        <v>83</v>
      </c>
      <c r="B136" s="132" t="s">
        <v>23</v>
      </c>
      <c r="C136" s="132" t="n">
        <f aca="false">C133*12</f>
        <v>120</v>
      </c>
      <c r="D136" s="133" t="n">
        <f aca="false">IF(C134&lt;=C133,E135,0)</f>
        <v>341722.666612</v>
      </c>
      <c r="E136" s="133" t="n">
        <f aca="false">IFERROR(D136/C136,0)</f>
        <v>2847.68888843333</v>
      </c>
    </row>
    <row r="137" customFormat="false" ht="12.8" hidden="false" customHeight="false" outlineLevel="0" collapsed="false">
      <c r="A137" s="81" t="s">
        <v>84</v>
      </c>
      <c r="B137" s="82" t="s">
        <v>53</v>
      </c>
      <c r="C137" s="82" t="n">
        <f aca="false">C132</f>
        <v>1</v>
      </c>
      <c r="D137" s="83" t="n">
        <v>182666.67</v>
      </c>
      <c r="E137" s="84" t="n">
        <f aca="false">C137*D137</f>
        <v>182666.67</v>
      </c>
      <c r="H137" s="1"/>
    </row>
    <row r="138" customFormat="false" ht="12.8" hidden="false" customHeight="false" outlineLevel="0" collapsed="false">
      <c r="A138" s="86" t="s">
        <v>85</v>
      </c>
      <c r="B138" s="87" t="s">
        <v>80</v>
      </c>
      <c r="C138" s="95" t="n">
        <v>10</v>
      </c>
      <c r="D138" s="89"/>
      <c r="E138" s="89"/>
    </row>
    <row r="139" customFormat="false" ht="12.8" hidden="false" customHeight="false" outlineLevel="0" collapsed="false">
      <c r="A139" s="86" t="s">
        <v>86</v>
      </c>
      <c r="B139" s="87" t="s">
        <v>80</v>
      </c>
      <c r="C139" s="95" t="n">
        <v>0</v>
      </c>
      <c r="D139" s="89"/>
      <c r="E139" s="89"/>
      <c r="F139" s="129"/>
      <c r="G139" s="129"/>
      <c r="J139" s="130"/>
      <c r="K139" s="130"/>
    </row>
    <row r="140" customFormat="false" ht="12.8" hidden="false" customHeight="false" outlineLevel="0" collapsed="false">
      <c r="A140" s="86" t="s">
        <v>87</v>
      </c>
      <c r="B140" s="87" t="s">
        <v>5</v>
      </c>
      <c r="C140" s="134" t="n">
        <f aca="false">IFERROR(VLOOKUP(C138,'5. Depreciação'!A3:B17,2,FALSE()),0)</f>
        <v>65.18</v>
      </c>
      <c r="D140" s="89" t="n">
        <f aca="false">E137</f>
        <v>182666.67</v>
      </c>
      <c r="E140" s="89" t="n">
        <f aca="false">C140*D140/100</f>
        <v>119062.135506</v>
      </c>
    </row>
    <row r="141" customFormat="false" ht="12.8" hidden="false" customHeight="false" outlineLevel="0" collapsed="false">
      <c r="A141" s="103" t="s">
        <v>88</v>
      </c>
      <c r="B141" s="135" t="s">
        <v>23</v>
      </c>
      <c r="C141" s="135" t="n">
        <f aca="false">C138*12</f>
        <v>120</v>
      </c>
      <c r="D141" s="104" t="n">
        <f aca="false">IF(C139&lt;=C138,E140,0)</f>
        <v>119062.135506</v>
      </c>
      <c r="E141" s="104" t="n">
        <f aca="false">IFERROR(D141/C141,0)</f>
        <v>992.18446255</v>
      </c>
    </row>
    <row r="142" customFormat="false" ht="12.8" hidden="false" customHeight="false" outlineLevel="0" collapsed="false">
      <c r="A142" s="90" t="s">
        <v>89</v>
      </c>
      <c r="B142" s="91"/>
      <c r="C142" s="91"/>
      <c r="D142" s="92"/>
      <c r="E142" s="93" t="n">
        <f aca="false">E136+E141</f>
        <v>3839.87335098333</v>
      </c>
    </row>
    <row r="143" customFormat="false" ht="12.8" hidden="false" customHeight="false" outlineLevel="0" collapsed="false">
      <c r="A143" s="103" t="s">
        <v>90</v>
      </c>
      <c r="B143" s="135" t="s">
        <v>53</v>
      </c>
      <c r="C143" s="95" t="n">
        <v>1</v>
      </c>
      <c r="D143" s="104" t="n">
        <f aca="false">E142</f>
        <v>3839.87335098333</v>
      </c>
      <c r="E143" s="93" t="n">
        <f aca="false">C143*D143</f>
        <v>3839.87335098333</v>
      </c>
    </row>
    <row r="144" customFormat="false" ht="12.8" hidden="false" customHeight="false" outlineLevel="0" collapsed="false">
      <c r="A144" s="136"/>
      <c r="B144" s="136"/>
      <c r="C144" s="136"/>
      <c r="D144" s="97" t="s">
        <v>38</v>
      </c>
      <c r="E144" s="98" t="n">
        <f aca="false">$B$37</f>
        <v>1</v>
      </c>
      <c r="F144" s="127" t="n">
        <f aca="false">E143*E144</f>
        <v>3839.87335098333</v>
      </c>
      <c r="G144" s="127" t="n">
        <f aca="false">F144*(1+$G$41/100)</f>
        <v>4841.31232091978</v>
      </c>
    </row>
    <row r="145" customFormat="false" ht="11.25" hidden="false" customHeight="true" outlineLevel="0" collapsed="false"/>
    <row r="146" customFormat="false" ht="12.8" hidden="false" customHeight="false" outlineLevel="0" collapsed="false">
      <c r="A146" s="128" t="s">
        <v>91</v>
      </c>
    </row>
    <row r="147" customFormat="false" ht="12.8" hidden="false" customHeight="false" outlineLevel="0" collapsed="false">
      <c r="A147" s="137" t="s">
        <v>16</v>
      </c>
      <c r="B147" s="138" t="s">
        <v>17</v>
      </c>
      <c r="C147" s="138" t="s">
        <v>9</v>
      </c>
      <c r="D147" s="78" t="s">
        <v>18</v>
      </c>
      <c r="E147" s="139" t="s">
        <v>19</v>
      </c>
      <c r="F147" s="100" t="s">
        <v>40</v>
      </c>
      <c r="G147" s="100"/>
      <c r="J147" s="130"/>
      <c r="K147" s="130"/>
    </row>
    <row r="148" customFormat="false" ht="12.8" hidden="false" customHeight="false" outlineLevel="0" collapsed="false">
      <c r="A148" s="86" t="s">
        <v>92</v>
      </c>
      <c r="B148" s="87" t="s">
        <v>53</v>
      </c>
      <c r="C148" s="82" t="n">
        <v>1</v>
      </c>
      <c r="D148" s="89" t="n">
        <f aca="false">D132</f>
        <v>524275.34</v>
      </c>
      <c r="E148" s="89" t="n">
        <f aca="false">C148*D148</f>
        <v>524275.34</v>
      </c>
      <c r="F148" s="129"/>
      <c r="G148" s="129"/>
      <c r="J148" s="130"/>
      <c r="K148" s="130"/>
    </row>
    <row r="149" customFormat="false" ht="12.8" hidden="false" customHeight="false" outlineLevel="0" collapsed="false">
      <c r="A149" s="86" t="s">
        <v>93</v>
      </c>
      <c r="B149" s="87" t="s">
        <v>5</v>
      </c>
      <c r="C149" s="95" t="n">
        <v>11.25</v>
      </c>
      <c r="D149" s="89"/>
      <c r="E149" s="89"/>
      <c r="F149" s="129"/>
      <c r="G149" s="129"/>
      <c r="J149" s="130"/>
      <c r="K149" s="130"/>
    </row>
    <row r="150" customFormat="false" ht="12.8" hidden="false" customHeight="false" outlineLevel="0" collapsed="false">
      <c r="A150" s="86" t="s">
        <v>94</v>
      </c>
      <c r="B150" s="87" t="s">
        <v>30</v>
      </c>
      <c r="C150" s="140" t="n">
        <f aca="false">IFERROR(IF(C134&lt;=C133,E132-(C135/(100*C133)*C134)*E132,E132-E135),0)</f>
        <v>524275.34</v>
      </c>
      <c r="D150" s="89"/>
      <c r="E150" s="89"/>
      <c r="F150" s="129"/>
      <c r="G150" s="129"/>
      <c r="J150" s="130"/>
      <c r="K150" s="130"/>
    </row>
    <row r="151" customFormat="false" ht="12.8" hidden="false" customHeight="false" outlineLevel="0" collapsed="false">
      <c r="A151" s="86" t="s">
        <v>95</v>
      </c>
      <c r="B151" s="87" t="s">
        <v>30</v>
      </c>
      <c r="C151" s="89" t="n">
        <f aca="false">IFERROR(IF(C134&gt;=C133,C150,((((C150)-(E132-E135))*(((C133-C134)+1)/(2*(C133-C134))))+(E132-E135))),0)</f>
        <v>370500.1400246</v>
      </c>
      <c r="D151" s="89"/>
      <c r="E151" s="89"/>
      <c r="F151" s="129"/>
      <c r="G151" s="129"/>
      <c r="J151" s="130"/>
      <c r="K151" s="130"/>
    </row>
    <row r="152" customFormat="false" ht="12.8" hidden="false" customHeight="false" outlineLevel="0" collapsed="false">
      <c r="A152" s="131" t="s">
        <v>96</v>
      </c>
      <c r="B152" s="132" t="s">
        <v>30</v>
      </c>
      <c r="C152" s="132"/>
      <c r="D152" s="133" t="n">
        <f aca="false">C149*C151/12/100</f>
        <v>3473.43881273062</v>
      </c>
      <c r="E152" s="133" t="n">
        <f aca="false">D152</f>
        <v>3473.43881273062</v>
      </c>
      <c r="F152" s="129"/>
      <c r="G152" s="129"/>
      <c r="J152" s="130"/>
      <c r="K152" s="130"/>
    </row>
    <row r="153" customFormat="false" ht="12.8" hidden="false" customHeight="false" outlineLevel="0" collapsed="false">
      <c r="A153" s="81" t="s">
        <v>97</v>
      </c>
      <c r="B153" s="82" t="s">
        <v>53</v>
      </c>
      <c r="C153" s="82" t="n">
        <f aca="false">C137</f>
        <v>1</v>
      </c>
      <c r="D153" s="84" t="n">
        <f aca="false">D137</f>
        <v>182666.67</v>
      </c>
      <c r="E153" s="84" t="n">
        <f aca="false">C153*D153</f>
        <v>182666.67</v>
      </c>
      <c r="F153" s="129"/>
      <c r="G153" s="129"/>
      <c r="J153" s="130"/>
      <c r="K153" s="130"/>
    </row>
    <row r="154" customFormat="false" ht="12.8" hidden="false" customHeight="false" outlineLevel="0" collapsed="false">
      <c r="A154" s="86" t="s">
        <v>93</v>
      </c>
      <c r="B154" s="87" t="s">
        <v>5</v>
      </c>
      <c r="C154" s="141" t="n">
        <f aca="false">C149</f>
        <v>11.25</v>
      </c>
      <c r="D154" s="89"/>
      <c r="E154" s="89"/>
      <c r="F154" s="129"/>
      <c r="G154" s="129"/>
      <c r="J154" s="130"/>
      <c r="K154" s="130"/>
    </row>
    <row r="155" customFormat="false" ht="12.8" hidden="false" customHeight="false" outlineLevel="0" collapsed="false">
      <c r="A155" s="86" t="s">
        <v>98</v>
      </c>
      <c r="B155" s="87" t="s">
        <v>30</v>
      </c>
      <c r="C155" s="140" t="n">
        <f aca="false">IFERROR(IF(C139&lt;=C138,E137-(C140/(100*C138)*C139)*E137,E137-E140),0)</f>
        <v>182666.67</v>
      </c>
      <c r="D155" s="89"/>
      <c r="E155" s="89"/>
      <c r="F155" s="129"/>
      <c r="G155" s="129"/>
      <c r="J155" s="130"/>
      <c r="K155" s="130"/>
    </row>
    <row r="156" customFormat="false" ht="12.8" hidden="false" customHeight="false" outlineLevel="0" collapsed="false">
      <c r="A156" s="86" t="s">
        <v>99</v>
      </c>
      <c r="B156" s="87" t="s">
        <v>30</v>
      </c>
      <c r="C156" s="89" t="n">
        <f aca="false">IFERROR(IF(C139&gt;=C138,C155,((((C155)-(E137-E140))*(((C138-C139)+1)/(2*(C138-C139))))+(E137-E140))),0)</f>
        <v>129088.7090223</v>
      </c>
      <c r="D156" s="89"/>
      <c r="E156" s="89"/>
      <c r="F156" s="129"/>
      <c r="G156" s="129"/>
      <c r="J156" s="130"/>
      <c r="K156" s="130"/>
    </row>
    <row r="157" customFormat="false" ht="12.8" hidden="false" customHeight="false" outlineLevel="0" collapsed="false">
      <c r="A157" s="103" t="s">
        <v>100</v>
      </c>
      <c r="B157" s="135" t="s">
        <v>30</v>
      </c>
      <c r="C157" s="135"/>
      <c r="D157" s="104" t="n">
        <f aca="false">C154*C156/12/100</f>
        <v>1210.20664708406</v>
      </c>
      <c r="E157" s="104" t="n">
        <f aca="false">D157</f>
        <v>1210.20664708406</v>
      </c>
      <c r="F157" s="129"/>
      <c r="G157" s="129"/>
      <c r="J157" s="130"/>
      <c r="K157" s="130"/>
    </row>
    <row r="158" customFormat="false" ht="12.8" hidden="false" customHeight="false" outlineLevel="0" collapsed="false">
      <c r="A158" s="90" t="s">
        <v>89</v>
      </c>
      <c r="B158" s="91"/>
      <c r="C158" s="91"/>
      <c r="D158" s="92"/>
      <c r="E158" s="93" t="n">
        <f aca="false">E152+E157</f>
        <v>4683.64545981469</v>
      </c>
      <c r="F158" s="129"/>
      <c r="G158" s="129"/>
      <c r="J158" s="130"/>
      <c r="K158" s="130"/>
    </row>
    <row r="159" customFormat="false" ht="12.8" hidden="false" customHeight="false" outlineLevel="0" collapsed="false">
      <c r="A159" s="103" t="s">
        <v>90</v>
      </c>
      <c r="B159" s="135" t="s">
        <v>53</v>
      </c>
      <c r="C159" s="141" t="n">
        <f aca="false">C143</f>
        <v>1</v>
      </c>
      <c r="D159" s="104" t="n">
        <f aca="false">E158</f>
        <v>4683.64545981469</v>
      </c>
      <c r="E159" s="93" t="n">
        <f aca="false">C159*D159</f>
        <v>4683.64545981469</v>
      </c>
      <c r="F159" s="129"/>
      <c r="G159" s="129"/>
      <c r="J159" s="130"/>
      <c r="K159" s="130"/>
    </row>
    <row r="160" customFormat="false" ht="12.8" hidden="false" customHeight="false" outlineLevel="0" collapsed="false">
      <c r="C160" s="142"/>
      <c r="D160" s="97" t="s">
        <v>38</v>
      </c>
      <c r="E160" s="98" t="n">
        <f aca="false">$B$37</f>
        <v>1</v>
      </c>
      <c r="F160" s="127" t="n">
        <f aca="false">E159*E160</f>
        <v>4683.64545981469</v>
      </c>
      <c r="G160" s="127" t="n">
        <f aca="false">F160*(1+$G$41/100)</f>
        <v>5905.14019573436</v>
      </c>
      <c r="J160" s="130"/>
      <c r="K160" s="130"/>
    </row>
    <row r="161" customFormat="false" ht="11.25" hidden="false" customHeight="true" outlineLevel="0" collapsed="false">
      <c r="J161" s="130"/>
      <c r="K161" s="130"/>
    </row>
    <row r="162" customFormat="false" ht="12.8" hidden="false" customHeight="false" outlineLevel="0" collapsed="false">
      <c r="A162" s="1" t="s">
        <v>101</v>
      </c>
      <c r="J162" s="130"/>
      <c r="K162" s="130"/>
    </row>
    <row r="163" customFormat="false" ht="12.8" hidden="false" customHeight="false" outlineLevel="0" collapsed="false">
      <c r="A163" s="76" t="s">
        <v>16</v>
      </c>
      <c r="B163" s="77" t="s">
        <v>17</v>
      </c>
      <c r="C163" s="77" t="s">
        <v>9</v>
      </c>
      <c r="D163" s="78" t="s">
        <v>18</v>
      </c>
      <c r="E163" s="78" t="s">
        <v>19</v>
      </c>
      <c r="F163" s="100" t="s">
        <v>40</v>
      </c>
      <c r="G163" s="100"/>
      <c r="J163" s="130"/>
      <c r="K163" s="130"/>
    </row>
    <row r="164" customFormat="false" ht="12.8" hidden="false" customHeight="false" outlineLevel="0" collapsed="false">
      <c r="A164" s="81" t="s">
        <v>102</v>
      </c>
      <c r="B164" s="82" t="s">
        <v>53</v>
      </c>
      <c r="C164" s="84" t="n">
        <f aca="false">C143</f>
        <v>1</v>
      </c>
      <c r="D164" s="84" t="n">
        <f aca="false">0.01*($E$132)</f>
        <v>5242.7534</v>
      </c>
      <c r="E164" s="84" t="n">
        <f aca="false">C164*D164</f>
        <v>5242.7534</v>
      </c>
      <c r="J164" s="130"/>
      <c r="K164" s="130"/>
    </row>
    <row r="165" customFormat="false" ht="12.8" hidden="false" customHeight="false" outlineLevel="0" collapsed="false">
      <c r="A165" s="86" t="s">
        <v>103</v>
      </c>
      <c r="B165" s="87" t="s">
        <v>53</v>
      </c>
      <c r="C165" s="84" t="n">
        <f aca="false">C143</f>
        <v>1</v>
      </c>
      <c r="D165" s="113" t="n">
        <v>94.1</v>
      </c>
      <c r="E165" s="89" t="n">
        <f aca="false">C165*D165</f>
        <v>94.1</v>
      </c>
      <c r="J165" s="130"/>
      <c r="K165" s="130"/>
    </row>
    <row r="166" customFormat="false" ht="12.8" hidden="false" customHeight="false" outlineLevel="0" collapsed="false">
      <c r="A166" s="86" t="s">
        <v>104</v>
      </c>
      <c r="B166" s="87" t="s">
        <v>53</v>
      </c>
      <c r="C166" s="84" t="n">
        <f aca="false">C143</f>
        <v>1</v>
      </c>
      <c r="D166" s="113" t="n">
        <v>3346.07</v>
      </c>
      <c r="E166" s="89" t="n">
        <f aca="false">C166*D166</f>
        <v>3346.07</v>
      </c>
      <c r="F166" s="92"/>
      <c r="G166" s="92"/>
      <c r="J166" s="130"/>
      <c r="K166" s="130"/>
    </row>
    <row r="167" customFormat="false" ht="12.8" hidden="false" customHeight="false" outlineLevel="0" collapsed="false">
      <c r="A167" s="103" t="s">
        <v>105</v>
      </c>
      <c r="B167" s="135" t="s">
        <v>23</v>
      </c>
      <c r="C167" s="135" t="n">
        <v>12</v>
      </c>
      <c r="D167" s="104" t="n">
        <f aca="false">SUM(E164:E166)</f>
        <v>8682.9234</v>
      </c>
      <c r="E167" s="104" t="n">
        <f aca="false">D167/C167</f>
        <v>723.57695</v>
      </c>
      <c r="J167" s="130"/>
      <c r="K167" s="130"/>
    </row>
    <row r="168" customFormat="false" ht="12.8" hidden="false" customHeight="false" outlineLevel="0" collapsed="false">
      <c r="D168" s="97" t="s">
        <v>38</v>
      </c>
      <c r="E168" s="98" t="n">
        <f aca="false">$B$37</f>
        <v>1</v>
      </c>
      <c r="F168" s="99" t="n">
        <f aca="false">E167*E168</f>
        <v>723.57695</v>
      </c>
      <c r="G168" s="99" t="n">
        <f aca="false">F168*(1+$G$41/100)</f>
        <v>912.28581856</v>
      </c>
      <c r="J168" s="130"/>
      <c r="K168" s="130"/>
    </row>
    <row r="169" customFormat="false" ht="11.25" hidden="false" customHeight="true" outlineLevel="0" collapsed="false">
      <c r="J169" s="130"/>
      <c r="K169" s="130"/>
    </row>
    <row r="170" customFormat="false" ht="12.8" hidden="false" customHeight="false" outlineLevel="0" collapsed="false">
      <c r="A170" s="1" t="s">
        <v>106</v>
      </c>
      <c r="B170" s="143"/>
      <c r="J170" s="130"/>
      <c r="K170" s="130"/>
    </row>
    <row r="171" customFormat="false" ht="12.8" hidden="false" customHeight="false" outlineLevel="0" collapsed="false">
      <c r="B171" s="143"/>
      <c r="J171" s="130"/>
      <c r="K171" s="130"/>
    </row>
    <row r="172" customFormat="false" ht="12.8" hidden="false" customHeight="false" outlineLevel="0" collapsed="false">
      <c r="A172" s="103" t="s">
        <v>107</v>
      </c>
      <c r="B172" s="144" t="n">
        <v>5881.29</v>
      </c>
      <c r="J172" s="130"/>
      <c r="K172" s="130"/>
    </row>
    <row r="173" customFormat="false" ht="12.8" hidden="false" customHeight="false" outlineLevel="0" collapsed="false">
      <c r="B173" s="143"/>
      <c r="J173" s="130"/>
      <c r="K173" s="130"/>
    </row>
    <row r="174" customFormat="false" ht="12.8" hidden="false" customHeight="false" outlineLevel="0" collapsed="false">
      <c r="A174" s="76" t="s">
        <v>16</v>
      </c>
      <c r="B174" s="77" t="s">
        <v>17</v>
      </c>
      <c r="C174" s="77" t="s">
        <v>108</v>
      </c>
      <c r="D174" s="78" t="s">
        <v>18</v>
      </c>
      <c r="E174" s="78" t="s">
        <v>19</v>
      </c>
      <c r="F174" s="100" t="s">
        <v>40</v>
      </c>
      <c r="G174" s="100"/>
      <c r="J174" s="130"/>
      <c r="K174" s="130"/>
    </row>
    <row r="175" customFormat="false" ht="12.8" hidden="false" customHeight="false" outlineLevel="0" collapsed="false">
      <c r="A175" s="81" t="s">
        <v>109</v>
      </c>
      <c r="B175" s="82" t="s">
        <v>110</v>
      </c>
      <c r="C175" s="145" t="n">
        <v>2.3</v>
      </c>
      <c r="D175" s="146" t="n">
        <v>5.89</v>
      </c>
      <c r="E175" s="84"/>
      <c r="J175" s="130"/>
      <c r="K175" s="130"/>
    </row>
    <row r="176" customFormat="false" ht="12.8" hidden="false" customHeight="false" outlineLevel="0" collapsed="false">
      <c r="A176" s="86" t="s">
        <v>111</v>
      </c>
      <c r="B176" s="87" t="s">
        <v>112</v>
      </c>
      <c r="C176" s="96" t="n">
        <f aca="false">B172</f>
        <v>5881.29</v>
      </c>
      <c r="D176" s="147" t="n">
        <f aca="false">IFERROR(+D175/C175,"-")</f>
        <v>2.56086956521739</v>
      </c>
      <c r="E176" s="89" t="n">
        <v>15056.1</v>
      </c>
      <c r="J176" s="130"/>
      <c r="K176" s="130"/>
    </row>
    <row r="177" customFormat="false" ht="12.8" hidden="false" customHeight="false" outlineLevel="0" collapsed="false">
      <c r="A177" s="86" t="s">
        <v>113</v>
      </c>
      <c r="B177" s="87" t="s">
        <v>114</v>
      </c>
      <c r="C177" s="148" t="n">
        <v>6</v>
      </c>
      <c r="D177" s="113" t="n">
        <v>23.75</v>
      </c>
      <c r="E177" s="89"/>
      <c r="J177" s="130"/>
      <c r="K177" s="130"/>
    </row>
    <row r="178" customFormat="false" ht="12.8" hidden="false" customHeight="false" outlineLevel="0" collapsed="false">
      <c r="A178" s="86" t="s">
        <v>115</v>
      </c>
      <c r="B178" s="87" t="s">
        <v>112</v>
      </c>
      <c r="C178" s="96" t="n">
        <f aca="false">C176</f>
        <v>5881.29</v>
      </c>
      <c r="D178" s="149" t="n">
        <f aca="false">+C177*D177/1000</f>
        <v>0.1425</v>
      </c>
      <c r="E178" s="89" t="n">
        <v>823.4</v>
      </c>
      <c r="J178" s="130"/>
      <c r="K178" s="130"/>
    </row>
    <row r="179" customFormat="false" ht="12.8" hidden="false" customHeight="false" outlineLevel="0" collapsed="false">
      <c r="A179" s="86" t="s">
        <v>116</v>
      </c>
      <c r="B179" s="87" t="s">
        <v>114</v>
      </c>
      <c r="C179" s="148" t="n">
        <v>0.85</v>
      </c>
      <c r="D179" s="113" t="n">
        <v>29.56</v>
      </c>
      <c r="E179" s="89"/>
      <c r="J179" s="130"/>
      <c r="K179" s="130"/>
    </row>
    <row r="180" customFormat="false" ht="12.8" hidden="false" customHeight="false" outlineLevel="0" collapsed="false">
      <c r="A180" s="86" t="s">
        <v>117</v>
      </c>
      <c r="B180" s="87" t="s">
        <v>112</v>
      </c>
      <c r="C180" s="96" t="n">
        <f aca="false">B172</f>
        <v>5881.29</v>
      </c>
      <c r="D180" s="149" t="n">
        <f aca="false">+C179*D179/1000</f>
        <v>0.025126</v>
      </c>
      <c r="E180" s="89" t="n">
        <v>117.63</v>
      </c>
      <c r="J180" s="130"/>
      <c r="K180" s="130"/>
    </row>
    <row r="181" customFormat="false" ht="12.8" hidden="false" customHeight="false" outlineLevel="0" collapsed="false">
      <c r="A181" s="86" t="s">
        <v>118</v>
      </c>
      <c r="B181" s="87" t="s">
        <v>114</v>
      </c>
      <c r="C181" s="148" t="n">
        <v>5</v>
      </c>
      <c r="D181" s="113" t="n">
        <v>15.77</v>
      </c>
      <c r="E181" s="89"/>
      <c r="J181" s="130"/>
      <c r="K181" s="130"/>
    </row>
    <row r="182" customFormat="false" ht="12.8" hidden="false" customHeight="false" outlineLevel="0" collapsed="false">
      <c r="A182" s="86" t="s">
        <v>119</v>
      </c>
      <c r="B182" s="87" t="s">
        <v>112</v>
      </c>
      <c r="C182" s="96" t="n">
        <f aca="false">C176</f>
        <v>5881.29</v>
      </c>
      <c r="D182" s="149" t="n">
        <f aca="false">+C181*D181/1000</f>
        <v>0.07885</v>
      </c>
      <c r="E182" s="89" t="n">
        <v>464.63</v>
      </c>
      <c r="J182" s="130"/>
      <c r="K182" s="130"/>
    </row>
    <row r="183" customFormat="false" ht="12.8" hidden="false" customHeight="false" outlineLevel="0" collapsed="false">
      <c r="A183" s="86" t="s">
        <v>120</v>
      </c>
      <c r="B183" s="87" t="s">
        <v>121</v>
      </c>
      <c r="C183" s="148" t="n">
        <v>2</v>
      </c>
      <c r="D183" s="113" t="n">
        <v>19.43</v>
      </c>
      <c r="E183" s="89"/>
      <c r="J183" s="130"/>
      <c r="K183" s="130"/>
    </row>
    <row r="184" customFormat="false" ht="12.8" hidden="false" customHeight="false" outlineLevel="0" collapsed="false">
      <c r="A184" s="86" t="s">
        <v>122</v>
      </c>
      <c r="B184" s="87" t="s">
        <v>112</v>
      </c>
      <c r="C184" s="96" t="n">
        <f aca="false">C176</f>
        <v>5881.29</v>
      </c>
      <c r="D184" s="149" t="n">
        <f aca="false">+C183*D183/1000</f>
        <v>0.03886</v>
      </c>
      <c r="E184" s="89" t="n">
        <v>229.37</v>
      </c>
      <c r="J184" s="130"/>
      <c r="K184" s="130"/>
    </row>
    <row r="185" customFormat="false" ht="12.8" hidden="false" customHeight="false" outlineLevel="0" collapsed="false">
      <c r="A185" s="86" t="s">
        <v>123</v>
      </c>
      <c r="B185" s="87" t="s">
        <v>110</v>
      </c>
      <c r="C185" s="108" t="n">
        <v>46</v>
      </c>
      <c r="D185" s="96" t="n">
        <v>5.65</v>
      </c>
      <c r="E185" s="89"/>
      <c r="J185" s="130"/>
      <c r="K185" s="130"/>
    </row>
    <row r="186" customFormat="false" ht="12.8" hidden="false" customHeight="false" outlineLevel="0" collapsed="false">
      <c r="A186" s="86" t="s">
        <v>124</v>
      </c>
      <c r="B186" s="87" t="s">
        <v>112</v>
      </c>
      <c r="C186" s="96" t="n">
        <f aca="false">B172</f>
        <v>5881.29</v>
      </c>
      <c r="D186" s="150" t="n">
        <f aca="false">C185*D185/1000</f>
        <v>0.2599</v>
      </c>
      <c r="E186" s="89" t="n">
        <v>1529.14</v>
      </c>
      <c r="J186" s="130"/>
      <c r="K186" s="130"/>
    </row>
    <row r="187" customFormat="false" ht="12.8" hidden="false" customHeight="false" outlineLevel="0" collapsed="false">
      <c r="A187" s="103" t="s">
        <v>125</v>
      </c>
      <c r="B187" s="135" t="s">
        <v>126</v>
      </c>
      <c r="C187" s="151"/>
      <c r="D187" s="152" t="n">
        <f aca="false">IFERROR(D176+D178+D180+D182+D184+D186,0)</f>
        <v>3.10610556521739</v>
      </c>
      <c r="E187" s="89"/>
      <c r="J187" s="130"/>
      <c r="K187" s="130"/>
    </row>
    <row r="188" customFormat="false" ht="12.8" hidden="false" customHeight="false" outlineLevel="0" collapsed="false">
      <c r="F188" s="127" t="n">
        <f aca="false">E176+E178+E180+E182+E184+E186+1.13</f>
        <v>18221.4</v>
      </c>
      <c r="G188" s="127" t="n">
        <f aca="false">F188*(1+$G$41/100)</f>
        <v>22973.54112</v>
      </c>
      <c r="J188" s="130"/>
      <c r="K188" s="130"/>
    </row>
    <row r="189" customFormat="false" ht="11.25" hidden="false" customHeight="true" outlineLevel="0" collapsed="false">
      <c r="J189" s="130"/>
      <c r="K189" s="130"/>
    </row>
    <row r="190" customFormat="false" ht="12.8" hidden="false" customHeight="false" outlineLevel="0" collapsed="false">
      <c r="A190" s="1" t="s">
        <v>127</v>
      </c>
      <c r="J190" s="130"/>
      <c r="K190" s="130"/>
    </row>
    <row r="191" customFormat="false" ht="12.8" hidden="false" customHeight="false" outlineLevel="0" collapsed="false">
      <c r="A191" s="76" t="s">
        <v>16</v>
      </c>
      <c r="B191" s="77" t="s">
        <v>17</v>
      </c>
      <c r="C191" s="77" t="s">
        <v>9</v>
      </c>
      <c r="D191" s="78" t="s">
        <v>18</v>
      </c>
      <c r="E191" s="78" t="s">
        <v>19</v>
      </c>
      <c r="F191" s="100" t="s">
        <v>40</v>
      </c>
      <c r="G191" s="100"/>
      <c r="J191" s="130"/>
      <c r="K191" s="130"/>
    </row>
    <row r="192" customFormat="false" ht="12.8" hidden="false" customHeight="false" outlineLevel="0" collapsed="false">
      <c r="A192" s="81" t="s">
        <v>128</v>
      </c>
      <c r="B192" s="82" t="s">
        <v>126</v>
      </c>
      <c r="C192" s="96" t="n">
        <f aca="false">C176</f>
        <v>5881.29</v>
      </c>
      <c r="D192" s="83" t="n">
        <v>0.74</v>
      </c>
      <c r="E192" s="84" t="n">
        <f aca="false">C192*D192</f>
        <v>4352.1546</v>
      </c>
      <c r="J192" s="130"/>
      <c r="K192" s="130"/>
    </row>
    <row r="193" customFormat="false" ht="12.8" hidden="false" customHeight="false" outlineLevel="0" collapsed="false">
      <c r="F193" s="127" t="n">
        <f aca="false">E192</f>
        <v>4352.1546</v>
      </c>
      <c r="G193" s="127" t="n">
        <f aca="false">F193*(1+$G$41/100)</f>
        <v>5487.19651968</v>
      </c>
      <c r="J193" s="130"/>
      <c r="K193" s="130"/>
    </row>
    <row r="194" customFormat="false" ht="11.25" hidden="false" customHeight="true" outlineLevel="0" collapsed="false">
      <c r="J194" s="130"/>
      <c r="K194" s="130"/>
    </row>
    <row r="195" customFormat="false" ht="12.8" hidden="false" customHeight="false" outlineLevel="0" collapsed="false">
      <c r="A195" s="1" t="s">
        <v>129</v>
      </c>
      <c r="J195" s="130"/>
      <c r="K195" s="130"/>
    </row>
    <row r="196" customFormat="false" ht="12.8" hidden="false" customHeight="false" outlineLevel="0" collapsed="false">
      <c r="A196" s="76" t="s">
        <v>16</v>
      </c>
      <c r="B196" s="77" t="s">
        <v>17</v>
      </c>
      <c r="C196" s="77" t="s">
        <v>9</v>
      </c>
      <c r="D196" s="78" t="s">
        <v>18</v>
      </c>
      <c r="E196" s="78" t="s">
        <v>19</v>
      </c>
      <c r="F196" s="100" t="s">
        <v>40</v>
      </c>
      <c r="G196" s="100"/>
      <c r="J196" s="130"/>
      <c r="K196" s="130"/>
    </row>
    <row r="197" customFormat="false" ht="12.8" hidden="false" customHeight="false" outlineLevel="0" collapsed="false">
      <c r="A197" s="81" t="s">
        <v>130</v>
      </c>
      <c r="B197" s="82" t="s">
        <v>53</v>
      </c>
      <c r="C197" s="153" t="n">
        <v>6</v>
      </c>
      <c r="D197" s="83" t="n">
        <v>2210.5</v>
      </c>
      <c r="E197" s="84" t="n">
        <f aca="false">C197*D197</f>
        <v>13263</v>
      </c>
      <c r="J197" s="130"/>
      <c r="K197" s="130"/>
    </row>
    <row r="198" customFormat="false" ht="12.8" hidden="false" customHeight="false" outlineLevel="0" collapsed="false">
      <c r="A198" s="81" t="s">
        <v>131</v>
      </c>
      <c r="B198" s="82" t="s">
        <v>53</v>
      </c>
      <c r="C198" s="153" t="n">
        <v>2</v>
      </c>
      <c r="D198" s="84"/>
      <c r="E198" s="84"/>
      <c r="J198" s="130"/>
      <c r="K198" s="130"/>
    </row>
    <row r="199" customFormat="false" ht="12.8" hidden="false" customHeight="false" outlineLevel="0" collapsed="false">
      <c r="A199" s="81" t="s">
        <v>132</v>
      </c>
      <c r="B199" s="82" t="s">
        <v>53</v>
      </c>
      <c r="C199" s="84" t="n">
        <f aca="false">C197*C198</f>
        <v>12</v>
      </c>
      <c r="D199" s="83" t="n">
        <v>888.86</v>
      </c>
      <c r="E199" s="84" t="n">
        <f aca="false">C199*D199</f>
        <v>10666.32</v>
      </c>
      <c r="J199" s="130"/>
      <c r="K199" s="130"/>
    </row>
    <row r="200" customFormat="false" ht="12.8" hidden="false" customHeight="false" outlineLevel="0" collapsed="false">
      <c r="A200" s="86" t="s">
        <v>133</v>
      </c>
      <c r="B200" s="87" t="s">
        <v>134</v>
      </c>
      <c r="C200" s="154" t="n">
        <v>70000</v>
      </c>
      <c r="D200" s="89" t="n">
        <f aca="false">E197+E199</f>
        <v>23929.32</v>
      </c>
      <c r="E200" s="89" t="n">
        <f aca="false">IFERROR(D200/C200,"-")</f>
        <v>0.341847428571429</v>
      </c>
      <c r="J200" s="130"/>
      <c r="K200" s="130"/>
    </row>
    <row r="201" customFormat="false" ht="12.8" hidden="false" customHeight="false" outlineLevel="0" collapsed="false">
      <c r="A201" s="86" t="s">
        <v>135</v>
      </c>
      <c r="B201" s="87" t="s">
        <v>112</v>
      </c>
      <c r="C201" s="96" t="n">
        <f aca="false">B172</f>
        <v>5881.29</v>
      </c>
      <c r="D201" s="89" t="n">
        <f aca="false">E200</f>
        <v>0.341847428571429</v>
      </c>
      <c r="E201" s="89" t="n">
        <f aca="false">IFERROR(C201*D201,0)</f>
        <v>2010.50386318286</v>
      </c>
      <c r="J201" s="130"/>
      <c r="K201" s="130"/>
    </row>
    <row r="202" customFormat="false" ht="12.8" hidden="false" customHeight="false" outlineLevel="0" collapsed="false">
      <c r="F202" s="127" t="n">
        <f aca="false">E201</f>
        <v>2010.50386318286</v>
      </c>
      <c r="G202" s="127" t="n">
        <f aca="false">F202*(1+$G$41/100)</f>
        <v>2534.84327070095</v>
      </c>
      <c r="J202" s="130"/>
      <c r="K202" s="130"/>
    </row>
    <row r="203" customFormat="false" ht="11.25" hidden="false" customHeight="true" outlineLevel="0" collapsed="false">
      <c r="J203" s="130"/>
      <c r="K203" s="130"/>
    </row>
    <row r="204" customFormat="false" ht="11.25" hidden="false" customHeight="true" outlineLevel="0" collapsed="false">
      <c r="H204" s="1"/>
    </row>
    <row r="205" s="1" customFormat="true" ht="12.8" hidden="false" customHeight="false" outlineLevel="0" collapsed="false">
      <c r="A205" s="114" t="s">
        <v>136</v>
      </c>
      <c r="B205" s="115"/>
      <c r="C205" s="115"/>
      <c r="D205" s="41"/>
      <c r="E205" s="116"/>
      <c r="F205" s="127" t="n">
        <f aca="false">+SUM(F132:F204)</f>
        <v>33831.1542239809</v>
      </c>
      <c r="G205" s="127" t="n">
        <f aca="false">F205*(1+$G$41/100)</f>
        <v>42654.3192455951</v>
      </c>
    </row>
    <row r="206" customFormat="false" ht="11.25" hidden="false" customHeight="true" outlineLevel="0" collapsed="false">
      <c r="H206" s="1"/>
    </row>
    <row r="207" s="1" customFormat="true" ht="12.75" hidden="false" customHeight="false" outlineLevel="0" collapsed="false">
      <c r="A207" s="72" t="s">
        <v>137</v>
      </c>
      <c r="B207" s="72"/>
      <c r="C207" s="72"/>
      <c r="D207" s="25"/>
      <c r="E207" s="25"/>
      <c r="F207" s="92"/>
      <c r="G207" s="92"/>
    </row>
    <row r="208" customFormat="false" ht="11.25" hidden="false" customHeight="true" outlineLevel="0" collapsed="false">
      <c r="H208" s="1"/>
    </row>
    <row r="209" s="1" customFormat="true" ht="12.8" hidden="false" customHeight="false" outlineLevel="0" collapsed="false">
      <c r="A209" s="76" t="s">
        <v>16</v>
      </c>
      <c r="B209" s="77" t="s">
        <v>17</v>
      </c>
      <c r="C209" s="77" t="s">
        <v>9</v>
      </c>
      <c r="D209" s="78" t="s">
        <v>18</v>
      </c>
      <c r="E209" s="78" t="s">
        <v>19</v>
      </c>
      <c r="F209" s="100" t="s">
        <v>40</v>
      </c>
      <c r="G209" s="100"/>
    </row>
    <row r="210" s="1" customFormat="true" ht="12.8" hidden="false" customHeight="false" outlineLevel="0" collapsed="false">
      <c r="A210" s="86" t="s">
        <v>138</v>
      </c>
      <c r="B210" s="87" t="s">
        <v>53</v>
      </c>
      <c r="C210" s="118" t="n">
        <v>0.0833333333333333</v>
      </c>
      <c r="D210" s="83" t="n">
        <v>37.59</v>
      </c>
      <c r="E210" s="89" t="n">
        <f aca="false">C210*D210</f>
        <v>3.1325</v>
      </c>
      <c r="F210" s="129"/>
      <c r="G210" s="129"/>
    </row>
    <row r="211" s="1" customFormat="true" ht="12.8" hidden="false" customHeight="false" outlineLevel="0" collapsed="false">
      <c r="A211" s="86" t="s">
        <v>139</v>
      </c>
      <c r="B211" s="87" t="s">
        <v>53</v>
      </c>
      <c r="C211" s="118" t="n">
        <v>0.166666666666667</v>
      </c>
      <c r="D211" s="83" t="n">
        <v>31.83</v>
      </c>
      <c r="E211" s="89" t="n">
        <f aca="false">C211*D211</f>
        <v>5.305</v>
      </c>
      <c r="F211" s="129"/>
      <c r="G211" s="129"/>
    </row>
    <row r="212" s="1" customFormat="true" ht="12.8" hidden="false" customHeight="false" outlineLevel="0" collapsed="false">
      <c r="A212" s="86" t="s">
        <v>140</v>
      </c>
      <c r="B212" s="87" t="s">
        <v>53</v>
      </c>
      <c r="C212" s="118" t="s">
        <v>141</v>
      </c>
      <c r="D212" s="83" t="n">
        <v>31.56</v>
      </c>
      <c r="E212" s="89" t="n">
        <v>18.8</v>
      </c>
      <c r="F212" s="129"/>
      <c r="G212" s="129"/>
    </row>
    <row r="213" s="1" customFormat="true" ht="12.8" hidden="false" customHeight="false" outlineLevel="0" collapsed="false">
      <c r="A213" s="86" t="s">
        <v>142</v>
      </c>
      <c r="B213" s="87" t="s">
        <v>143</v>
      </c>
      <c r="C213" s="118" t="n">
        <v>0.0833333333333333</v>
      </c>
      <c r="D213" s="83" t="n">
        <v>72.76</v>
      </c>
      <c r="E213" s="89" t="n">
        <f aca="false">C213*D213</f>
        <v>6.06333333333333</v>
      </c>
      <c r="F213" s="129"/>
      <c r="G213" s="129"/>
    </row>
    <row r="214" s="1" customFormat="true" ht="12.8" hidden="false" customHeight="false" outlineLevel="0" collapsed="false">
      <c r="A214" s="72"/>
      <c r="B214" s="72"/>
      <c r="C214" s="72"/>
      <c r="D214" s="72"/>
      <c r="E214" s="25"/>
      <c r="F214" s="127" t="n">
        <f aca="false">SUM(E210:E213)</f>
        <v>33.3008333333333</v>
      </c>
      <c r="G214" s="127" t="n">
        <f aca="false">F214*(1+$G$41/100)</f>
        <v>41.9856906666666</v>
      </c>
    </row>
    <row r="215" customFormat="false" ht="11.25" hidden="false" customHeight="true" outlineLevel="0" collapsed="false">
      <c r="H215" s="1"/>
    </row>
    <row r="216" s="1" customFormat="true" ht="12.8" hidden="false" customHeight="false" outlineLevel="0" collapsed="false">
      <c r="A216" s="114" t="s">
        <v>144</v>
      </c>
      <c r="B216" s="115"/>
      <c r="C216" s="115"/>
      <c r="D216" s="41"/>
      <c r="E216" s="116"/>
      <c r="F216" s="127" t="n">
        <f aca="false">+F214</f>
        <v>33.3008333333333</v>
      </c>
      <c r="G216" s="127" t="n">
        <f aca="false">F214*(1+$G$41/100)</f>
        <v>41.9856906666666</v>
      </c>
    </row>
    <row r="217" customFormat="false" ht="11.25" hidden="false" customHeight="true" outlineLevel="0" collapsed="false">
      <c r="H217" s="1"/>
    </row>
    <row r="218" customFormat="false" ht="12.75" hidden="false" customHeight="false" outlineLevel="0" collapsed="false">
      <c r="A218" s="72" t="s">
        <v>145</v>
      </c>
      <c r="B218" s="72"/>
      <c r="C218" s="72"/>
      <c r="D218" s="25"/>
      <c r="E218" s="25"/>
      <c r="F218" s="92"/>
      <c r="G218" s="92"/>
    </row>
    <row r="219" customFormat="false" ht="11.25" hidden="false" customHeight="true" outlineLevel="0" collapsed="false"/>
    <row r="220" customFormat="false" ht="12.8" hidden="false" customHeight="false" outlineLevel="0" collapsed="false">
      <c r="A220" s="76" t="s">
        <v>16</v>
      </c>
      <c r="B220" s="77" t="s">
        <v>17</v>
      </c>
      <c r="C220" s="77" t="s">
        <v>9</v>
      </c>
      <c r="D220" s="78" t="s">
        <v>18</v>
      </c>
      <c r="E220" s="78" t="s">
        <v>19</v>
      </c>
      <c r="F220" s="100" t="s">
        <v>40</v>
      </c>
      <c r="G220" s="100"/>
    </row>
    <row r="221" customFormat="false" ht="12.8" hidden="false" customHeight="false" outlineLevel="0" collapsed="false">
      <c r="A221" s="86" t="s">
        <v>146</v>
      </c>
      <c r="B221" s="155" t="s">
        <v>143</v>
      </c>
      <c r="C221" s="123" t="n">
        <f aca="false">C132</f>
        <v>1</v>
      </c>
      <c r="D221" s="113" t="n">
        <v>616</v>
      </c>
      <c r="E221" s="89" t="n">
        <f aca="false">+D221*C221</f>
        <v>616</v>
      </c>
      <c r="F221" s="129"/>
      <c r="G221" s="129"/>
    </row>
    <row r="222" customFormat="false" ht="12.8" hidden="false" customHeight="false" outlineLevel="0" collapsed="false">
      <c r="A222" s="86" t="s">
        <v>147</v>
      </c>
      <c r="B222" s="155" t="s">
        <v>23</v>
      </c>
      <c r="C222" s="87" t="n">
        <v>60</v>
      </c>
      <c r="D222" s="156" t="n">
        <f aca="false">SUM(E221:E221)</f>
        <v>616</v>
      </c>
      <c r="E222" s="156" t="n">
        <f aca="false">+D222/C222</f>
        <v>10.2666666666667</v>
      </c>
      <c r="F222" s="129"/>
      <c r="G222" s="129"/>
    </row>
    <row r="223" customFormat="false" ht="12.8" hidden="false" customHeight="false" outlineLevel="0" collapsed="false">
      <c r="A223" s="86" t="s">
        <v>148</v>
      </c>
      <c r="B223" s="87" t="s">
        <v>53</v>
      </c>
      <c r="C223" s="123" t="n">
        <f aca="false">+C221</f>
        <v>1</v>
      </c>
      <c r="D223" s="113" t="n">
        <v>152.64</v>
      </c>
      <c r="E223" s="89" t="n">
        <f aca="false">C223*D223</f>
        <v>152.64</v>
      </c>
      <c r="F223" s="129"/>
      <c r="G223" s="129"/>
    </row>
    <row r="224" customFormat="false" ht="12.8" hidden="false" customHeight="false" outlineLevel="0" collapsed="false">
      <c r="A224" s="86" t="s">
        <v>149</v>
      </c>
      <c r="B224" s="155" t="s">
        <v>23</v>
      </c>
      <c r="C224" s="87" t="n">
        <v>1</v>
      </c>
      <c r="D224" s="156" t="n">
        <f aca="false">+E223</f>
        <v>152.64</v>
      </c>
      <c r="E224" s="156" t="n">
        <f aca="false">+D224/C224</f>
        <v>152.64</v>
      </c>
      <c r="F224" s="129"/>
      <c r="G224" s="129"/>
    </row>
    <row r="225" customFormat="false" ht="12.8" hidden="false" customHeight="false" outlineLevel="0" collapsed="false">
      <c r="A225" s="157"/>
      <c r="B225" s="157"/>
      <c r="C225" s="157"/>
      <c r="D225" s="97" t="s">
        <v>38</v>
      </c>
      <c r="E225" s="98" t="n">
        <f aca="false">$B$37</f>
        <v>1</v>
      </c>
      <c r="F225" s="127" t="n">
        <f aca="false">(E222+E224)*E225</f>
        <v>162.906666666667</v>
      </c>
      <c r="G225" s="127" t="n">
        <f aca="false">F225*(1+$G$41/100)</f>
        <v>205.392725333334</v>
      </c>
    </row>
    <row r="226" s="159" customFormat="true" ht="11.25" hidden="false" customHeight="true" outlineLevel="0" collapsed="false">
      <c r="A226" s="1"/>
      <c r="B226" s="1"/>
      <c r="C226" s="1"/>
      <c r="D226" s="2"/>
      <c r="E226" s="2"/>
      <c r="F226" s="2"/>
      <c r="G226" s="2"/>
      <c r="H226" s="158"/>
    </row>
    <row r="227" customFormat="false" ht="12.8" hidden="false" customHeight="false" outlineLevel="0" collapsed="false">
      <c r="A227" s="114" t="s">
        <v>150</v>
      </c>
      <c r="B227" s="115"/>
      <c r="C227" s="115"/>
      <c r="D227" s="41"/>
      <c r="E227" s="116"/>
      <c r="F227" s="127" t="n">
        <f aca="false">+F225</f>
        <v>162.906666666667</v>
      </c>
      <c r="G227" s="127" t="n">
        <f aca="false">G225</f>
        <v>205.392725333334</v>
      </c>
    </row>
    <row r="228" customFormat="false" ht="11.25" hidden="false" customHeight="true" outlineLevel="0" collapsed="false"/>
    <row r="229" customFormat="false" ht="11.25" hidden="false" customHeight="true" outlineLevel="0" collapsed="false"/>
    <row r="230" customFormat="false" ht="12.75" hidden="false" customHeight="false" outlineLevel="0" collapsed="false">
      <c r="A230" s="26" t="s">
        <v>151</v>
      </c>
    </row>
    <row r="231" customFormat="false" ht="11.25" hidden="false" customHeight="true" outlineLevel="0" collapsed="false"/>
    <row r="232" customFormat="false" ht="12.8" hidden="false" customHeight="false" outlineLevel="0" collapsed="false">
      <c r="A232" s="76" t="s">
        <v>16</v>
      </c>
      <c r="B232" s="77" t="s">
        <v>17</v>
      </c>
      <c r="C232" s="77" t="s">
        <v>9</v>
      </c>
      <c r="D232" s="78" t="s">
        <v>18</v>
      </c>
      <c r="E232" s="78" t="s">
        <v>19</v>
      </c>
      <c r="F232" s="100" t="s">
        <v>40</v>
      </c>
      <c r="G232" s="100"/>
    </row>
    <row r="233" customFormat="false" ht="12.8" hidden="false" customHeight="false" outlineLevel="0" collapsed="false">
      <c r="A233" s="81" t="s">
        <v>152</v>
      </c>
      <c r="B233" s="81" t="s">
        <v>23</v>
      </c>
      <c r="C233" s="81" t="n">
        <v>1</v>
      </c>
      <c r="D233" s="81" t="n">
        <v>4500</v>
      </c>
      <c r="E233" s="81" t="n">
        <f aca="false">D233</f>
        <v>4500</v>
      </c>
    </row>
    <row r="234" customFormat="false" ht="12.8" hidden="false" customHeight="false" outlineLevel="0" collapsed="false">
      <c r="A234" s="81" t="s">
        <v>153</v>
      </c>
      <c r="B234" s="81" t="s">
        <v>23</v>
      </c>
      <c r="C234" s="81" t="n">
        <v>1</v>
      </c>
      <c r="D234" s="81" t="n">
        <v>70</v>
      </c>
      <c r="E234" s="81" t="n">
        <f aca="false">D234</f>
        <v>70</v>
      </c>
    </row>
    <row r="235" customFormat="false" ht="12.8" hidden="false" customHeight="false" outlineLevel="0" collapsed="false">
      <c r="A235" s="81" t="s">
        <v>154</v>
      </c>
      <c r="B235" s="81" t="s">
        <v>23</v>
      </c>
      <c r="C235" s="81" t="n">
        <v>1</v>
      </c>
      <c r="D235" s="81" t="n">
        <v>114.42</v>
      </c>
      <c r="E235" s="81" t="n">
        <f aca="false">D235</f>
        <v>114.42</v>
      </c>
    </row>
    <row r="236" customFormat="false" ht="12.8" hidden="false" customHeight="false" outlineLevel="0" collapsed="false">
      <c r="A236" s="81" t="s">
        <v>155</v>
      </c>
      <c r="B236" s="81" t="s">
        <v>23</v>
      </c>
      <c r="C236" s="81" t="n">
        <v>1</v>
      </c>
      <c r="D236" s="81" t="n">
        <v>79.9</v>
      </c>
      <c r="E236" s="81" t="n">
        <f aca="false">D236</f>
        <v>79.9</v>
      </c>
    </row>
    <row r="237" customFormat="false" ht="12.8" hidden="false" customHeight="false" outlineLevel="0" collapsed="false">
      <c r="A237" s="81" t="s">
        <v>156</v>
      </c>
      <c r="B237" s="81" t="s">
        <v>23</v>
      </c>
      <c r="C237" s="81" t="n">
        <v>1</v>
      </c>
      <c r="D237" s="81"/>
      <c r="E237" s="81" t="n">
        <f aca="false">E233+E234+E235+E236</f>
        <v>4764.32</v>
      </c>
    </row>
    <row r="238" customFormat="false" ht="12.8" hidden="false" customHeight="false" outlineLevel="0" collapsed="false">
      <c r="F238" s="127" t="n">
        <f aca="false">E237</f>
        <v>4764.32</v>
      </c>
      <c r="G238" s="127" t="n">
        <f aca="false">F238*(1+$G$41/100)</f>
        <v>6006.854656</v>
      </c>
    </row>
    <row r="239" customFormat="false" ht="11.25" hidden="false" customHeight="true" outlineLevel="0" collapsed="false"/>
    <row r="240" customFormat="false" ht="12.8" hidden="false" customHeight="false" outlineLevel="0" collapsed="false">
      <c r="A240" s="114" t="s">
        <v>157</v>
      </c>
      <c r="B240" s="124"/>
      <c r="C240" s="124"/>
      <c r="D240" s="125"/>
      <c r="E240" s="126"/>
      <c r="F240" s="112" t="n">
        <f aca="false">F238+F227+F216+F205+F124+F90</f>
        <v>71976.7631906475</v>
      </c>
      <c r="G240" s="160" t="n">
        <f aca="false">F240*(1+$G$41/100)</f>
        <v>90748.3030307684</v>
      </c>
    </row>
    <row r="241" customFormat="false" ht="12.8" hidden="false" customHeight="false" outlineLevel="0" collapsed="false">
      <c r="A241" s="72"/>
      <c r="B241" s="72"/>
      <c r="C241" s="72"/>
      <c r="D241" s="25"/>
      <c r="E241" s="25"/>
      <c r="F241" s="92"/>
      <c r="G241" s="92"/>
    </row>
    <row r="242" customFormat="false" ht="11.25" hidden="false" customHeight="true" outlineLevel="0" collapsed="false"/>
    <row r="243" customFormat="false" ht="24.75" hidden="false" customHeight="true" outlineLevel="0" collapsed="false">
      <c r="A243" s="114" t="s">
        <v>158</v>
      </c>
      <c r="B243" s="124"/>
      <c r="C243" s="124"/>
      <c r="D243" s="125"/>
      <c r="E243" s="41"/>
      <c r="F243" s="41"/>
      <c r="G243" s="112" t="n">
        <f aca="false">G240</f>
        <v>90748.3030307684</v>
      </c>
    </row>
    <row r="244" customFormat="false" ht="12" hidden="false" customHeight="true" outlineLevel="0" collapsed="false">
      <c r="A244" s="161"/>
      <c r="B244" s="161"/>
      <c r="C244" s="161"/>
      <c r="D244" s="162"/>
      <c r="E244" s="162"/>
      <c r="F244" s="162"/>
      <c r="G244" s="162"/>
    </row>
    <row r="245" customFormat="false" ht="13.8" hidden="false" customHeight="false" outlineLevel="0" collapsed="false">
      <c r="A245" s="6"/>
      <c r="B245" s="6"/>
      <c r="C245" s="6"/>
      <c r="D245" s="5"/>
      <c r="E245" s="5"/>
    </row>
    <row r="246" customFormat="false" ht="15.75" hidden="false" customHeight="true" outlineLevel="0" collapsed="false">
      <c r="A246" s="163" t="s">
        <v>159</v>
      </c>
      <c r="B246" s="164"/>
      <c r="C246" s="164"/>
      <c r="D246" s="164" t="n">
        <v>5881.29</v>
      </c>
      <c r="E246" s="165" t="s">
        <v>160</v>
      </c>
      <c r="H246" s="2" t="s">
        <v>161</v>
      </c>
    </row>
    <row r="247" customFormat="false" ht="12.8" hidden="false" customHeight="false" outlineLevel="0" collapsed="false"/>
    <row r="248" customFormat="false" ht="25.5" hidden="false" customHeight="true" outlineLevel="0" collapsed="false">
      <c r="A248" s="114" t="s">
        <v>162</v>
      </c>
      <c r="B248" s="115"/>
      <c r="C248" s="115"/>
      <c r="D248" s="41"/>
      <c r="E248" s="41"/>
      <c r="F248" s="166" t="s">
        <v>163</v>
      </c>
      <c r="G248" s="167" t="n">
        <f aca="false">G243/D246</f>
        <v>15.4299997161793</v>
      </c>
      <c r="H248" s="2" t="s">
        <v>161</v>
      </c>
    </row>
    <row r="249" customFormat="false" ht="12" hidden="false" customHeight="true" outlineLevel="0" collapsed="false">
      <c r="A249" s="72"/>
      <c r="B249" s="72"/>
      <c r="C249" s="72"/>
      <c r="D249" s="25"/>
      <c r="E249" s="25"/>
      <c r="F249" s="25"/>
      <c r="G249" s="25"/>
    </row>
    <row r="250" s="12" customFormat="true" ht="9.75" hidden="false" customHeight="true" outlineLevel="0" collapsed="false">
      <c r="A250" s="0"/>
      <c r="B250" s="0"/>
      <c r="C250" s="0"/>
      <c r="D250" s="0" t="s">
        <v>164</v>
      </c>
      <c r="E250" s="0"/>
      <c r="F250" s="0"/>
      <c r="G250" s="0"/>
      <c r="H250" s="10"/>
    </row>
    <row r="251" s="12" customFormat="true" ht="9.75" hidden="false" customHeight="true" outlineLevel="0" collapsed="false">
      <c r="A251" s="0"/>
      <c r="B251" s="0"/>
      <c r="C251" s="0"/>
      <c r="D251" s="0"/>
      <c r="E251" s="0"/>
      <c r="F251" s="0"/>
      <c r="G251" s="0"/>
      <c r="H251" s="10"/>
    </row>
    <row r="252" s="12" customFormat="true" ht="9.75" hidden="false" customHeight="true" outlineLevel="0" collapsed="false">
      <c r="A252" s="0"/>
      <c r="B252" s="0"/>
      <c r="C252" s="0"/>
      <c r="D252" s="0"/>
      <c r="E252" s="0"/>
      <c r="F252" s="0"/>
      <c r="G252" s="0"/>
      <c r="H252" s="10"/>
    </row>
    <row r="253" customFormat="false" ht="12.75" hidden="false" customHeight="false" outlineLevel="0" collapsed="false">
      <c r="A253" s="168" t="s">
        <v>165</v>
      </c>
      <c r="B253" s="2"/>
      <c r="C253" s="2"/>
      <c r="E253" s="168" t="s">
        <v>166</v>
      </c>
    </row>
    <row r="254" customFormat="false" ht="12.75" hidden="false" customHeight="false" outlineLevel="0" collapsed="false">
      <c r="A254" s="168" t="s">
        <v>167</v>
      </c>
      <c r="B254" s="2"/>
      <c r="C254" s="2"/>
      <c r="E254" s="168" t="s">
        <v>168</v>
      </c>
    </row>
    <row r="255" customFormat="false" ht="12.8" hidden="false" customHeight="false" outlineLevel="0" collapsed="false">
      <c r="A255" s="2" t="s">
        <v>169</v>
      </c>
      <c r="B255" s="2"/>
      <c r="C255" s="2"/>
      <c r="E255" s="169" t="s">
        <v>170</v>
      </c>
      <c r="F255" s="170" t="s">
        <v>171</v>
      </c>
    </row>
    <row r="282" s="1" customFormat="true" ht="9" hidden="false" customHeight="tru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1:F1"/>
    <mergeCell ref="A2:F2"/>
    <mergeCell ref="A12:C12"/>
    <mergeCell ref="A27:E27"/>
    <mergeCell ref="A28:D28"/>
    <mergeCell ref="A33:D33"/>
  </mergeCells>
  <hyperlinks>
    <hyperlink ref="A130" location="AbaDeprec" display="3.1.1. Depreciação"/>
    <hyperlink ref="A146" location="AbaRemun" display="3.1.2. Remuneração do Capital"/>
  </hyperlinks>
  <printOptions headings="false" gridLines="false" gridLinesSet="true" horizontalCentered="false" verticalCentered="false"/>
  <pageMargins left="0.905555555555556" right="0.511805555555556" top="0.747916666666667" bottom="0.747916666666667" header="0.511811023622047" footer="0.315277777777778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&amp;R&amp;P de &amp;N</oddFooter>
  </headerFooter>
  <rowBreaks count="4" manualBreakCount="4">
    <brk id="38" man="true" max="16383" min="0"/>
    <brk id="70" man="true" max="16383" min="0"/>
    <brk id="125" man="true" max="16383" min="0"/>
    <brk id="194" man="true" max="16383" min="0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8"/>
  <sheetViews>
    <sheetView showFormulas="false" showGridLines="true" showRowColHeaders="true" showZeros="true" rightToLeft="false" tabSelected="false" showOutlineSymbols="true" defaultGridColor="true" view="pageBreakPreview" topLeftCell="A22" colorId="64" zoomScale="110" zoomScaleNormal="100" zoomScalePageLayoutView="110" workbookViewId="0">
      <selection pane="topLeft" activeCell="D31" activeCellId="0" sqref="D3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22" width="13.57"/>
    <col collapsed="false" customWidth="true" hidden="false" outlineLevel="0" max="2" min="2" style="122" width="39.57"/>
    <col collapsed="false" customWidth="true" hidden="false" outlineLevel="0" max="3" min="3" style="122" width="14.57"/>
    <col collapsed="false" customWidth="true" hidden="false" outlineLevel="0" max="4" min="4" style="171" width="37.3"/>
    <col collapsed="false" customWidth="false" hidden="false" outlineLevel="0" max="10" min="5" style="122" width="9.13"/>
    <col collapsed="false" customWidth="true" hidden="false" outlineLevel="0" max="11" min="11" style="122" width="10.99"/>
    <col collapsed="false" customWidth="false" hidden="false" outlineLevel="0" max="1024" min="12" style="122" width="9.13"/>
  </cols>
  <sheetData>
    <row r="1" customFormat="false" ht="12.75" hidden="false" customHeight="false" outlineLevel="0" collapsed="false">
      <c r="A1" s="26" t="s">
        <v>172</v>
      </c>
    </row>
    <row r="2" customFormat="false" ht="12.75" hidden="false" customHeight="false" outlineLevel="0" collapsed="false">
      <c r="A2" s="172" t="s">
        <v>173</v>
      </c>
    </row>
    <row r="3" s="12" customFormat="true" ht="15" hidden="false" customHeight="true" outlineLevel="0" collapsed="false">
      <c r="B3" s="8"/>
      <c r="C3" s="8"/>
      <c r="D3" s="8"/>
      <c r="E3" s="8"/>
      <c r="F3" s="8"/>
      <c r="G3" s="10"/>
    </row>
    <row r="4" s="12" customFormat="true" ht="15" hidden="false" customHeight="true" outlineLevel="0" collapsed="false">
      <c r="A4" s="173" t="s">
        <v>174</v>
      </c>
      <c r="B4" s="8"/>
      <c r="C4" s="8"/>
      <c r="D4" s="8"/>
      <c r="E4" s="8"/>
      <c r="F4" s="8"/>
      <c r="G4" s="10"/>
    </row>
    <row r="5" s="12" customFormat="true" ht="16.5" hidden="false" customHeight="true" outlineLevel="0" collapsed="false">
      <c r="A5" s="173" t="s">
        <v>175</v>
      </c>
      <c r="B5" s="174"/>
      <c r="C5" s="174"/>
      <c r="D5" s="10"/>
      <c r="E5" s="10"/>
      <c r="F5" s="10"/>
      <c r="G5" s="10"/>
    </row>
    <row r="6" customFormat="false" ht="12.8" hidden="false" customHeight="false" outlineLevel="0" collapsed="false"/>
    <row r="7" customFormat="false" ht="17.35" hidden="false" customHeight="false" outlineLevel="0" collapsed="false">
      <c r="A7" s="175" t="s">
        <v>176</v>
      </c>
      <c r="B7" s="175"/>
      <c r="C7" s="175"/>
      <c r="D7" s="176"/>
      <c r="E7" s="176"/>
      <c r="F7" s="176"/>
    </row>
    <row r="8" customFormat="false" ht="13.8" hidden="false" customHeight="false" outlineLevel="0" collapsed="false">
      <c r="A8" s="177" t="s">
        <v>177</v>
      </c>
      <c r="B8" s="178" t="s">
        <v>178</v>
      </c>
      <c r="C8" s="179" t="s">
        <v>179</v>
      </c>
      <c r="D8" s="180"/>
    </row>
    <row r="9" customFormat="false" ht="13.8" hidden="false" customHeight="false" outlineLevel="0" collapsed="false">
      <c r="A9" s="177" t="s">
        <v>180</v>
      </c>
      <c r="B9" s="178" t="s">
        <v>181</v>
      </c>
      <c r="C9" s="181" t="n">
        <v>0.2</v>
      </c>
      <c r="D9" s="180"/>
      <c r="F9" s="171"/>
      <c r="G9" s="171"/>
      <c r="H9" s="171"/>
      <c r="I9" s="171"/>
      <c r="J9" s="171"/>
      <c r="K9" s="171"/>
      <c r="L9" s="171"/>
    </row>
    <row r="10" customFormat="false" ht="13.8" hidden="false" customHeight="false" outlineLevel="0" collapsed="false">
      <c r="A10" s="177" t="s">
        <v>182</v>
      </c>
      <c r="B10" s="178" t="s">
        <v>183</v>
      </c>
      <c r="C10" s="181" t="n">
        <v>0.015</v>
      </c>
      <c r="D10" s="180"/>
      <c r="F10" s="171"/>
      <c r="G10" s="171"/>
      <c r="H10" s="171"/>
      <c r="I10" s="171"/>
      <c r="J10" s="171"/>
      <c r="K10" s="171"/>
      <c r="L10" s="171"/>
    </row>
    <row r="11" customFormat="false" ht="13.8" hidden="false" customHeight="false" outlineLevel="0" collapsed="false">
      <c r="A11" s="177" t="s">
        <v>184</v>
      </c>
      <c r="B11" s="178" t="s">
        <v>185</v>
      </c>
      <c r="C11" s="181" t="n">
        <v>0.01</v>
      </c>
      <c r="D11" s="180"/>
      <c r="F11" s="171"/>
      <c r="G11" s="171"/>
      <c r="H11" s="171"/>
      <c r="I11" s="171"/>
      <c r="J11" s="171"/>
      <c r="K11" s="171"/>
      <c r="L11" s="171"/>
    </row>
    <row r="12" customFormat="false" ht="13.8" hidden="false" customHeight="false" outlineLevel="0" collapsed="false">
      <c r="A12" s="177" t="s">
        <v>186</v>
      </c>
      <c r="B12" s="178" t="s">
        <v>187</v>
      </c>
      <c r="C12" s="181" t="n">
        <v>0.002</v>
      </c>
      <c r="D12" s="180"/>
      <c r="F12" s="171"/>
      <c r="G12" s="171"/>
      <c r="H12" s="171"/>
      <c r="I12" s="171"/>
      <c r="J12" s="171"/>
      <c r="K12" s="171"/>
      <c r="L12" s="171"/>
    </row>
    <row r="13" customFormat="false" ht="13.8" hidden="false" customHeight="false" outlineLevel="0" collapsed="false">
      <c r="A13" s="177" t="s">
        <v>188</v>
      </c>
      <c r="B13" s="178" t="s">
        <v>189</v>
      </c>
      <c r="C13" s="181" t="n">
        <v>0.006</v>
      </c>
      <c r="D13" s="180"/>
      <c r="F13" s="171"/>
      <c r="G13" s="171"/>
      <c r="H13" s="171"/>
      <c r="I13" s="171"/>
      <c r="J13" s="171"/>
      <c r="K13" s="171"/>
      <c r="L13" s="171"/>
    </row>
    <row r="14" customFormat="false" ht="13.8" hidden="false" customHeight="false" outlineLevel="0" collapsed="false">
      <c r="A14" s="177" t="s">
        <v>190</v>
      </c>
      <c r="B14" s="178" t="s">
        <v>191</v>
      </c>
      <c r="C14" s="181" t="n">
        <v>0.025</v>
      </c>
      <c r="D14" s="180"/>
      <c r="F14" s="171"/>
      <c r="G14" s="171"/>
      <c r="H14" s="171"/>
      <c r="I14" s="171"/>
      <c r="J14" s="171"/>
      <c r="K14" s="171"/>
      <c r="L14" s="171"/>
    </row>
    <row r="15" customFormat="false" ht="13.8" hidden="false" customHeight="false" outlineLevel="0" collapsed="false">
      <c r="A15" s="177" t="s">
        <v>192</v>
      </c>
      <c r="B15" s="178" t="s">
        <v>193</v>
      </c>
      <c r="C15" s="181" t="n">
        <v>0.03</v>
      </c>
      <c r="D15" s="180"/>
      <c r="F15" s="171"/>
      <c r="G15" s="171"/>
      <c r="H15" s="171"/>
      <c r="I15" s="171"/>
      <c r="J15" s="171"/>
      <c r="K15" s="171"/>
      <c r="L15" s="171"/>
    </row>
    <row r="16" customFormat="false" ht="13.8" hidden="false" customHeight="false" outlineLevel="0" collapsed="false">
      <c r="A16" s="177" t="s">
        <v>194</v>
      </c>
      <c r="B16" s="178" t="s">
        <v>195</v>
      </c>
      <c r="C16" s="181" t="n">
        <v>0.08</v>
      </c>
      <c r="D16" s="180"/>
      <c r="F16" s="171"/>
      <c r="G16" s="171"/>
      <c r="H16" s="171"/>
      <c r="I16" s="171"/>
      <c r="J16" s="171"/>
      <c r="K16" s="171"/>
      <c r="L16" s="171"/>
    </row>
    <row r="17" customFormat="false" ht="13.8" hidden="false" customHeight="false" outlineLevel="0" collapsed="false">
      <c r="A17" s="177" t="s">
        <v>196</v>
      </c>
      <c r="B17" s="182" t="s">
        <v>197</v>
      </c>
      <c r="C17" s="183" t="n">
        <f aca="false">SUM(C9:C16)</f>
        <v>0.368</v>
      </c>
      <c r="D17" s="180"/>
      <c r="F17" s="171"/>
      <c r="G17" s="171"/>
      <c r="H17" s="171"/>
      <c r="I17" s="171"/>
      <c r="J17" s="171"/>
      <c r="K17" s="171"/>
      <c r="L17" s="171"/>
    </row>
    <row r="18" customFormat="false" ht="13.8" hidden="false" customHeight="false" outlineLevel="0" collapsed="false">
      <c r="A18" s="184"/>
      <c r="B18" s="185"/>
      <c r="C18" s="186"/>
      <c r="D18" s="180"/>
      <c r="F18" s="171"/>
      <c r="G18" s="171"/>
      <c r="H18" s="171"/>
      <c r="I18" s="171"/>
      <c r="J18" s="171"/>
      <c r="K18" s="171"/>
      <c r="L18" s="171"/>
    </row>
    <row r="19" customFormat="false" ht="13.8" hidden="false" customHeight="false" outlineLevel="0" collapsed="false">
      <c r="A19" s="177" t="s">
        <v>198</v>
      </c>
      <c r="B19" s="178" t="s">
        <v>199</v>
      </c>
      <c r="C19" s="181" t="n">
        <f aca="false">ROUND(IF('3.CAGED'!C28&gt;24,(1-12/'3.CAGED'!C28)*0.1111,0.1111-C28),4)</f>
        <v>0.0619</v>
      </c>
      <c r="D19" s="180"/>
      <c r="F19" s="171"/>
      <c r="G19" s="171"/>
      <c r="H19" s="171"/>
      <c r="I19" s="171"/>
      <c r="J19" s="171"/>
      <c r="K19" s="171"/>
      <c r="L19" s="171"/>
    </row>
    <row r="20" customFormat="false" ht="13.8" hidden="false" customHeight="false" outlineLevel="0" collapsed="false">
      <c r="A20" s="177" t="s">
        <v>200</v>
      </c>
      <c r="B20" s="178" t="s">
        <v>201</v>
      </c>
      <c r="C20" s="181" t="n">
        <f aca="false">ROUND('3.CAGED'!C32/'3.CAGED'!C29,4)</f>
        <v>0.0833</v>
      </c>
      <c r="D20" s="180"/>
      <c r="F20" s="171"/>
      <c r="G20" s="171"/>
      <c r="H20" s="171"/>
      <c r="I20" s="171"/>
      <c r="J20" s="171"/>
      <c r="K20" s="171"/>
      <c r="L20" s="171"/>
    </row>
    <row r="21" customFormat="false" ht="13.8" hidden="false" customHeight="false" outlineLevel="0" collapsed="false">
      <c r="A21" s="177" t="s">
        <v>202</v>
      </c>
      <c r="B21" s="178" t="s">
        <v>203</v>
      </c>
      <c r="C21" s="181" t="n">
        <v>0.0006</v>
      </c>
      <c r="D21" s="180"/>
      <c r="F21" s="171"/>
      <c r="G21" s="171"/>
      <c r="H21" s="171"/>
      <c r="I21" s="171"/>
      <c r="J21" s="171"/>
      <c r="K21" s="171"/>
      <c r="L21" s="171"/>
    </row>
    <row r="22" customFormat="false" ht="13.8" hidden="false" customHeight="false" outlineLevel="0" collapsed="false">
      <c r="A22" s="177" t="s">
        <v>204</v>
      </c>
      <c r="B22" s="178" t="s">
        <v>205</v>
      </c>
      <c r="C22" s="181" t="n">
        <v>0.0082</v>
      </c>
      <c r="D22" s="180"/>
      <c r="F22" s="171"/>
      <c r="G22" s="171"/>
      <c r="H22" s="171"/>
      <c r="I22" s="171"/>
      <c r="J22" s="171"/>
      <c r="K22" s="171"/>
      <c r="L22" s="171"/>
    </row>
    <row r="23" customFormat="false" ht="13.8" hidden="false" customHeight="false" outlineLevel="0" collapsed="false">
      <c r="A23" s="177" t="s">
        <v>206</v>
      </c>
      <c r="B23" s="178" t="s">
        <v>207</v>
      </c>
      <c r="C23" s="181" t="n">
        <v>0.0031</v>
      </c>
      <c r="D23" s="180"/>
      <c r="F23" s="171"/>
      <c r="G23" s="171"/>
      <c r="H23" s="171"/>
      <c r="I23" s="171"/>
      <c r="J23" s="171"/>
      <c r="K23" s="171"/>
      <c r="L23" s="171"/>
    </row>
    <row r="24" customFormat="false" ht="13.8" hidden="false" customHeight="false" outlineLevel="0" collapsed="false">
      <c r="A24" s="177" t="s">
        <v>208</v>
      </c>
      <c r="B24" s="178" t="s">
        <v>209</v>
      </c>
      <c r="C24" s="181" t="n">
        <v>0.0166</v>
      </c>
      <c r="D24" s="180"/>
      <c r="F24" s="171"/>
      <c r="G24" s="171"/>
      <c r="H24" s="171"/>
      <c r="I24" s="171"/>
      <c r="J24" s="171"/>
      <c r="K24" s="171"/>
      <c r="L24" s="171"/>
    </row>
    <row r="25" customFormat="false" ht="13.8" hidden="false" customHeight="false" outlineLevel="0" collapsed="false">
      <c r="A25" s="177" t="s">
        <v>210</v>
      </c>
      <c r="B25" s="182" t="s">
        <v>211</v>
      </c>
      <c r="C25" s="183" t="n">
        <f aca="false">SUM(C19:C24)</f>
        <v>0.1737</v>
      </c>
      <c r="D25" s="187"/>
      <c r="F25" s="171"/>
      <c r="G25" s="171"/>
      <c r="H25" s="171"/>
      <c r="I25" s="171"/>
      <c r="J25" s="171"/>
      <c r="K25" s="171"/>
      <c r="L25" s="171"/>
    </row>
    <row r="26" customFormat="false" ht="13.8" hidden="false" customHeight="false" outlineLevel="0" collapsed="false">
      <c r="A26" s="184"/>
      <c r="B26" s="185"/>
      <c r="C26" s="186"/>
      <c r="D26" s="187"/>
      <c r="F26" s="171"/>
      <c r="G26" s="171"/>
      <c r="H26" s="171"/>
      <c r="I26" s="171"/>
      <c r="J26" s="171"/>
      <c r="K26" s="171"/>
      <c r="L26" s="171"/>
    </row>
    <row r="27" customFormat="false" ht="13.8" hidden="false" customHeight="false" outlineLevel="0" collapsed="false">
      <c r="A27" s="177" t="s">
        <v>212</v>
      </c>
      <c r="B27" s="178" t="s">
        <v>213</v>
      </c>
      <c r="C27" s="181" t="n">
        <f aca="false">ROUND(('3.CAGED'!C33) *'3.CAGED'!C26/'3.CAGED'!C29,4)</f>
        <v>0.0256</v>
      </c>
      <c r="D27" s="180"/>
      <c r="E27" s="188"/>
      <c r="F27" s="171"/>
      <c r="G27" s="171"/>
      <c r="H27" s="171"/>
      <c r="I27" s="171"/>
      <c r="J27" s="171"/>
      <c r="K27" s="171"/>
      <c r="L27" s="171"/>
    </row>
    <row r="28" customFormat="false" ht="13.8" hidden="false" customHeight="false" outlineLevel="0" collapsed="false">
      <c r="A28" s="177" t="s">
        <v>214</v>
      </c>
      <c r="B28" s="178" t="s">
        <v>215</v>
      </c>
      <c r="C28" s="181" t="n">
        <f aca="false">ROUND(IF('3.CAGED'!C28&gt;12,12/'3.CAGED'!C28*0.1111,0.1111),4)</f>
        <v>0.0492</v>
      </c>
      <c r="D28" s="180"/>
      <c r="F28" s="171"/>
      <c r="G28" s="171"/>
      <c r="H28" s="189"/>
      <c r="I28" s="171"/>
      <c r="J28" s="171"/>
      <c r="K28" s="171"/>
      <c r="L28" s="171"/>
    </row>
    <row r="29" customFormat="false" ht="13.8" hidden="false" customHeight="false" outlineLevel="0" collapsed="false">
      <c r="A29" s="177" t="s">
        <v>216</v>
      </c>
      <c r="B29" s="178" t="s">
        <v>217</v>
      </c>
      <c r="C29" s="181" t="n">
        <f aca="false">C27*C28</f>
        <v>0.00125952</v>
      </c>
      <c r="D29" s="180"/>
      <c r="E29" s="188"/>
      <c r="F29" s="171"/>
      <c r="G29" s="171"/>
      <c r="H29" s="171"/>
      <c r="I29" s="171"/>
      <c r="J29" s="171"/>
      <c r="K29" s="171"/>
      <c r="L29" s="171"/>
    </row>
    <row r="30" customFormat="false" ht="13.8" hidden="false" customHeight="false" outlineLevel="0" collapsed="false">
      <c r="A30" s="177" t="s">
        <v>218</v>
      </c>
      <c r="B30" s="178" t="s">
        <v>219</v>
      </c>
      <c r="C30" s="181" t="n">
        <f aca="false">ROUND(('3.CAGED'!C29+'3.CAGED'!C30+'3.CAGED'!C32)/'3.CAGED'!C27*'3.CAGED'!C34*'3.CAGED'!C35*'3.CAGED'!C26/'3.CAGED'!C29,4)</f>
        <v>0.0205</v>
      </c>
      <c r="D30" s="180"/>
      <c r="F30" s="171"/>
      <c r="G30" s="190"/>
      <c r="H30" s="171"/>
      <c r="I30" s="171"/>
      <c r="J30" s="171"/>
      <c r="K30" s="171"/>
      <c r="L30" s="171"/>
    </row>
    <row r="31" customFormat="false" ht="13.8" hidden="false" customHeight="false" outlineLevel="0" collapsed="false">
      <c r="A31" s="177" t="s">
        <v>220</v>
      </c>
      <c r="B31" s="178" t="s">
        <v>221</v>
      </c>
      <c r="C31" s="181" t="n">
        <f aca="false">ROUND(('3.CAGED'!C31/'3.CAGED'!C29)*'3.CAGED'!C26/12,4)</f>
        <v>0.0018</v>
      </c>
      <c r="D31" s="180"/>
      <c r="F31" s="171"/>
      <c r="G31" s="171"/>
      <c r="H31" s="171"/>
      <c r="I31" s="171"/>
      <c r="J31" s="171"/>
      <c r="K31" s="171"/>
      <c r="L31" s="171"/>
    </row>
    <row r="32" customFormat="false" ht="13.8" hidden="false" customHeight="false" outlineLevel="0" collapsed="false">
      <c r="A32" s="177" t="s">
        <v>222</v>
      </c>
      <c r="B32" s="182" t="s">
        <v>223</v>
      </c>
      <c r="C32" s="183" t="n">
        <f aca="false">SUM(C27:C31)</f>
        <v>0.09835952</v>
      </c>
      <c r="D32" s="187"/>
      <c r="F32" s="171"/>
      <c r="G32" s="171"/>
      <c r="H32" s="171"/>
      <c r="I32" s="171"/>
      <c r="J32" s="171"/>
      <c r="K32" s="171"/>
      <c r="L32" s="171"/>
    </row>
    <row r="33" customFormat="false" ht="13.8" hidden="false" customHeight="false" outlineLevel="0" collapsed="false">
      <c r="A33" s="184"/>
      <c r="B33" s="185"/>
      <c r="C33" s="186"/>
      <c r="D33" s="187"/>
      <c r="F33" s="171"/>
      <c r="G33" s="171"/>
      <c r="H33" s="171"/>
      <c r="I33" s="171"/>
      <c r="J33" s="171"/>
      <c r="K33" s="171"/>
      <c r="L33" s="171"/>
    </row>
    <row r="34" customFormat="false" ht="13.8" hidden="false" customHeight="false" outlineLevel="0" collapsed="false">
      <c r="A34" s="177" t="s">
        <v>224</v>
      </c>
      <c r="B34" s="178" t="s">
        <v>225</v>
      </c>
      <c r="C34" s="181" t="n">
        <f aca="false">ROUND(C17*C25,4)</f>
        <v>0.0639</v>
      </c>
      <c r="D34" s="180"/>
      <c r="F34" s="171"/>
      <c r="G34" s="171"/>
      <c r="H34" s="171"/>
      <c r="I34" s="171"/>
      <c r="J34" s="171"/>
      <c r="K34" s="171"/>
      <c r="L34" s="171"/>
    </row>
    <row r="35" customFormat="false" ht="26.85" hidden="false" customHeight="false" outlineLevel="0" collapsed="false">
      <c r="A35" s="177" t="s">
        <v>226</v>
      </c>
      <c r="B35" s="191" t="s">
        <v>227</v>
      </c>
      <c r="C35" s="181" t="n">
        <f aca="false">ROUND((C27*C16),4)</f>
        <v>0.002</v>
      </c>
      <c r="D35" s="180"/>
      <c r="F35" s="171"/>
      <c r="G35" s="171"/>
      <c r="H35" s="171"/>
      <c r="I35" s="171"/>
      <c r="J35" s="171"/>
      <c r="K35" s="171"/>
      <c r="L35" s="171"/>
    </row>
    <row r="36" customFormat="false" ht="13.8" hidden="false" customHeight="false" outlineLevel="0" collapsed="false">
      <c r="A36" s="177" t="s">
        <v>228</v>
      </c>
      <c r="B36" s="182" t="s">
        <v>229</v>
      </c>
      <c r="C36" s="183" t="n">
        <f aca="false">SUM(C34:C35)</f>
        <v>0.0659</v>
      </c>
      <c r="D36" s="187"/>
      <c r="F36" s="171"/>
      <c r="G36" s="171"/>
      <c r="H36" s="171"/>
      <c r="I36" s="171"/>
      <c r="J36" s="171"/>
      <c r="K36" s="171"/>
      <c r="L36" s="171"/>
    </row>
    <row r="37" customFormat="false" ht="13.8" hidden="false" customHeight="false" outlineLevel="0" collapsed="false">
      <c r="A37" s="192"/>
      <c r="B37" s="193" t="s">
        <v>230</v>
      </c>
      <c r="C37" s="194" t="n">
        <f aca="false">C36+C32+C25+C17</f>
        <v>0.70595952</v>
      </c>
      <c r="D37" s="187"/>
      <c r="F37" s="171"/>
      <c r="G37" s="171"/>
      <c r="H37" s="171"/>
      <c r="I37" s="171"/>
      <c r="J37" s="171"/>
      <c r="K37" s="171"/>
      <c r="L37" s="171"/>
    </row>
    <row r="38" customFormat="false" ht="13.8" hidden="false" customHeight="false" outlineLevel="0" collapsed="false">
      <c r="A38" s="180"/>
      <c r="B38" s="195"/>
      <c r="C38" s="196"/>
      <c r="D38" s="197"/>
      <c r="F38" s="171"/>
      <c r="G38" s="171"/>
      <c r="H38" s="171"/>
      <c r="I38" s="171"/>
      <c r="J38" s="171"/>
      <c r="K38" s="171"/>
      <c r="L38" s="171"/>
    </row>
    <row r="39" customFormat="false" ht="13.8" hidden="false" customHeight="false" outlineLevel="0" collapsed="false">
      <c r="A39" s="180"/>
      <c r="B39" s="180"/>
      <c r="C39" s="198"/>
      <c r="D39" s="199"/>
      <c r="F39" s="171"/>
      <c r="G39" s="171"/>
      <c r="H39" s="171"/>
      <c r="I39" s="171"/>
      <c r="J39" s="171"/>
      <c r="K39" s="171"/>
      <c r="L39" s="171"/>
    </row>
    <row r="40" customFormat="false" ht="13.8" hidden="false" customHeight="false" outlineLevel="0" collapsed="false">
      <c r="A40" s="180"/>
      <c r="B40" s="180"/>
      <c r="C40" s="198"/>
      <c r="D40" s="180"/>
      <c r="F40" s="171"/>
      <c r="G40" s="171"/>
      <c r="H40" s="171"/>
      <c r="I40" s="171"/>
      <c r="J40" s="171"/>
      <c r="K40" s="171"/>
      <c r="L40" s="171"/>
    </row>
    <row r="41" customFormat="false" ht="13.8" hidden="false" customHeight="false" outlineLevel="0" collapsed="false">
      <c r="A41" s="180"/>
      <c r="B41" s="180"/>
      <c r="C41" s="198"/>
      <c r="D41" s="180"/>
      <c r="F41" s="171"/>
      <c r="G41" s="171"/>
      <c r="H41" s="171"/>
      <c r="I41" s="171"/>
      <c r="J41" s="171"/>
      <c r="K41" s="171"/>
      <c r="L41" s="171"/>
    </row>
    <row r="42" customFormat="false" ht="13.8" hidden="false" customHeight="false" outlineLevel="0" collapsed="false">
      <c r="A42" s="180"/>
      <c r="B42" s="180"/>
      <c r="C42" s="198"/>
      <c r="D42" s="180"/>
      <c r="F42" s="171"/>
      <c r="G42" s="171"/>
      <c r="H42" s="171"/>
      <c r="I42" s="171"/>
      <c r="J42" s="171"/>
      <c r="K42" s="171"/>
      <c r="L42" s="171"/>
    </row>
    <row r="43" customFormat="false" ht="13.8" hidden="false" customHeight="false" outlineLevel="0" collapsed="false">
      <c r="A43" s="180"/>
      <c r="B43" s="195"/>
      <c r="C43" s="196"/>
      <c r="D43" s="180"/>
      <c r="F43" s="171"/>
      <c r="G43" s="171"/>
      <c r="H43" s="171"/>
      <c r="I43" s="171"/>
      <c r="J43" s="171"/>
      <c r="K43" s="171"/>
      <c r="L43" s="171"/>
    </row>
    <row r="44" customFormat="false" ht="13.8" hidden="false" customHeight="false" outlineLevel="0" collapsed="false">
      <c r="A44" s="187"/>
      <c r="B44" s="195"/>
      <c r="C44" s="196"/>
      <c r="D44" s="187"/>
      <c r="E44" s="171"/>
      <c r="F44" s="171"/>
      <c r="G44" s="171"/>
      <c r="H44" s="171"/>
      <c r="I44" s="171"/>
      <c r="J44" s="171"/>
      <c r="K44" s="171"/>
      <c r="L44" s="171"/>
    </row>
    <row r="45" customFormat="false" ht="16.15" hidden="false" customHeight="false" outlineLevel="0" collapsed="false">
      <c r="A45" s="200"/>
      <c r="B45" s="171"/>
      <c r="C45" s="171"/>
      <c r="E45" s="171"/>
      <c r="F45" s="171"/>
      <c r="G45" s="171"/>
      <c r="H45" s="171"/>
      <c r="I45" s="171"/>
      <c r="J45" s="171"/>
      <c r="K45" s="171"/>
      <c r="L45" s="171"/>
    </row>
    <row r="46" customFormat="false" ht="12.75" hidden="false" customHeight="false" outlineLevel="0" collapsed="false">
      <c r="A46" s="201"/>
      <c r="B46" s="202"/>
      <c r="C46" s="202"/>
      <c r="E46" s="171"/>
      <c r="F46" s="171"/>
      <c r="G46" s="171"/>
      <c r="H46" s="171"/>
      <c r="I46" s="171"/>
      <c r="J46" s="171"/>
      <c r="K46" s="171"/>
      <c r="L46" s="171"/>
    </row>
    <row r="47" customFormat="false" ht="13.8" hidden="false" customHeight="false" outlineLevel="0" collapsed="false">
      <c r="A47" s="180"/>
      <c r="B47" s="203"/>
      <c r="C47" s="202"/>
      <c r="E47" s="171"/>
      <c r="F47" s="171"/>
      <c r="G47" s="171"/>
      <c r="H47" s="171"/>
      <c r="I47" s="171"/>
      <c r="J47" s="171"/>
      <c r="K47" s="171"/>
      <c r="L47" s="171"/>
    </row>
    <row r="48" customFormat="false" ht="13.8" hidden="false" customHeight="false" outlineLevel="0" collapsed="false">
      <c r="A48" s="180"/>
      <c r="B48" s="203"/>
      <c r="C48" s="180"/>
      <c r="E48" s="171"/>
      <c r="F48" s="171"/>
      <c r="G48" s="171"/>
      <c r="H48" s="171"/>
      <c r="I48" s="171"/>
      <c r="J48" s="171"/>
      <c r="K48" s="171"/>
      <c r="L48" s="171"/>
    </row>
    <row r="49" customFormat="false" ht="13.8" hidden="false" customHeight="false" outlineLevel="0" collapsed="false">
      <c r="A49" s="180"/>
      <c r="B49" s="198"/>
      <c r="C49" s="202"/>
      <c r="E49" s="171"/>
      <c r="F49" s="171"/>
      <c r="G49" s="171"/>
      <c r="H49" s="171"/>
      <c r="I49" s="171"/>
      <c r="J49" s="171"/>
      <c r="K49" s="171"/>
      <c r="L49" s="171"/>
    </row>
    <row r="50" customFormat="false" ht="13.8" hidden="false" customHeight="false" outlineLevel="0" collapsed="false">
      <c r="A50" s="180"/>
      <c r="B50" s="203"/>
      <c r="C50" s="180"/>
      <c r="E50" s="171"/>
      <c r="F50" s="171"/>
      <c r="G50" s="171"/>
      <c r="H50" s="171"/>
      <c r="I50" s="171"/>
      <c r="J50" s="171"/>
      <c r="K50" s="171"/>
      <c r="L50" s="171"/>
    </row>
    <row r="51" customFormat="false" ht="13.8" hidden="false" customHeight="false" outlineLevel="0" collapsed="false">
      <c r="A51" s="180"/>
      <c r="B51" s="198"/>
      <c r="C51" s="202"/>
      <c r="E51" s="171"/>
      <c r="F51" s="171"/>
      <c r="G51" s="171"/>
      <c r="H51" s="171"/>
      <c r="I51" s="171"/>
      <c r="J51" s="171"/>
      <c r="K51" s="171"/>
      <c r="L51" s="171"/>
    </row>
    <row r="52" customFormat="false" ht="13.8" hidden="false" customHeight="false" outlineLevel="0" collapsed="false">
      <c r="A52" s="180"/>
      <c r="B52" s="203"/>
      <c r="C52" s="180"/>
      <c r="E52" s="171"/>
      <c r="F52" s="171"/>
      <c r="G52" s="171"/>
      <c r="H52" s="171"/>
      <c r="I52" s="171"/>
      <c r="J52" s="171"/>
      <c r="K52" s="171"/>
      <c r="L52" s="171"/>
    </row>
    <row r="53" customFormat="false" ht="13.8" hidden="false" customHeight="false" outlineLevel="0" collapsed="false">
      <c r="A53" s="180"/>
      <c r="B53" s="198"/>
      <c r="C53" s="202"/>
      <c r="E53" s="171"/>
      <c r="F53" s="171"/>
      <c r="G53" s="171"/>
      <c r="H53" s="171"/>
      <c r="I53" s="171"/>
      <c r="J53" s="171"/>
      <c r="K53" s="171"/>
      <c r="L53" s="171"/>
    </row>
    <row r="54" customFormat="false" ht="13.8" hidden="false" customHeight="false" outlineLevel="0" collapsed="false">
      <c r="A54" s="180"/>
      <c r="B54" s="203"/>
      <c r="C54" s="180"/>
      <c r="E54" s="171"/>
      <c r="F54" s="171"/>
      <c r="G54" s="171"/>
      <c r="H54" s="171"/>
      <c r="I54" s="171"/>
      <c r="J54" s="171"/>
      <c r="K54" s="171"/>
      <c r="L54" s="171"/>
    </row>
    <row r="55" customFormat="false" ht="13.8" hidden="false" customHeight="false" outlineLevel="0" collapsed="false">
      <c r="A55" s="180"/>
      <c r="B55" s="198"/>
      <c r="C55" s="202"/>
      <c r="E55" s="171"/>
      <c r="F55" s="171"/>
      <c r="G55" s="171"/>
      <c r="H55" s="171"/>
      <c r="I55" s="171"/>
      <c r="J55" s="171"/>
      <c r="K55" s="171"/>
      <c r="L55" s="171"/>
    </row>
    <row r="56" customFormat="false" ht="16.15" hidden="false" customHeight="false" outlineLevel="0" collapsed="false">
      <c r="A56" s="200"/>
      <c r="B56" s="171"/>
      <c r="C56" s="171"/>
      <c r="E56" s="171"/>
      <c r="F56" s="171"/>
      <c r="G56" s="171"/>
      <c r="H56" s="171"/>
      <c r="I56" s="171"/>
      <c r="J56" s="171"/>
      <c r="K56" s="171"/>
      <c r="L56" s="171"/>
    </row>
    <row r="57" customFormat="false" ht="12.75" hidden="false" customHeight="false" outlineLevel="0" collapsed="false">
      <c r="A57" s="171"/>
      <c r="B57" s="171"/>
      <c r="C57" s="171"/>
      <c r="E57" s="171"/>
      <c r="F57" s="171"/>
      <c r="G57" s="171"/>
      <c r="H57" s="171"/>
      <c r="I57" s="171"/>
      <c r="J57" s="171"/>
      <c r="K57" s="171"/>
      <c r="L57" s="171"/>
    </row>
    <row r="58" customFormat="false" ht="12.75" hidden="false" customHeight="false" outlineLevel="0" collapsed="false">
      <c r="A58" s="171"/>
      <c r="B58" s="171"/>
      <c r="C58" s="171"/>
      <c r="E58" s="171"/>
      <c r="F58" s="171"/>
      <c r="G58" s="171"/>
      <c r="H58" s="171"/>
      <c r="I58" s="171"/>
      <c r="J58" s="171"/>
      <c r="K58" s="171"/>
      <c r="L58" s="171"/>
    </row>
    <row r="59" customFormat="false" ht="12.75" hidden="false" customHeight="false" outlineLevel="0" collapsed="false">
      <c r="A59" s="204"/>
      <c r="B59" s="171"/>
      <c r="C59" s="171"/>
      <c r="E59" s="171"/>
      <c r="F59" s="171"/>
      <c r="G59" s="171"/>
      <c r="H59" s="171"/>
      <c r="I59" s="171"/>
      <c r="J59" s="171"/>
      <c r="K59" s="171"/>
      <c r="L59" s="171"/>
    </row>
    <row r="60" customFormat="false" ht="12.75" hidden="false" customHeight="false" outlineLevel="0" collapsed="false">
      <c r="A60" s="171"/>
      <c r="B60" s="171"/>
      <c r="C60" s="171"/>
      <c r="E60" s="171"/>
    </row>
    <row r="61" customFormat="false" ht="12.75" hidden="false" customHeight="false" outlineLevel="0" collapsed="false">
      <c r="A61" s="171"/>
      <c r="B61" s="171"/>
      <c r="C61" s="171"/>
      <c r="E61" s="171"/>
    </row>
    <row r="62" customFormat="false" ht="12.75" hidden="false" customHeight="false" outlineLevel="0" collapsed="false">
      <c r="A62" s="171"/>
      <c r="B62" s="171"/>
      <c r="C62" s="171"/>
      <c r="E62" s="171"/>
    </row>
    <row r="63" customFormat="false" ht="12.75" hidden="false" customHeight="false" outlineLevel="0" collapsed="false">
      <c r="A63" s="171"/>
      <c r="B63" s="171"/>
      <c r="C63" s="171"/>
      <c r="E63" s="171"/>
    </row>
    <row r="64" customFormat="false" ht="12.75" hidden="false" customHeight="false" outlineLevel="0" collapsed="false">
      <c r="A64" s="171"/>
      <c r="B64" s="171"/>
      <c r="C64" s="171"/>
      <c r="E64" s="171"/>
    </row>
    <row r="65" customFormat="false" ht="12.75" hidden="false" customHeight="false" outlineLevel="0" collapsed="false">
      <c r="A65" s="171"/>
      <c r="B65" s="171"/>
      <c r="C65" s="171"/>
      <c r="E65" s="171"/>
    </row>
    <row r="66" customFormat="false" ht="12.75" hidden="false" customHeight="false" outlineLevel="0" collapsed="false">
      <c r="A66" s="171"/>
      <c r="B66" s="171"/>
      <c r="C66" s="171"/>
      <c r="E66" s="171"/>
    </row>
    <row r="67" customFormat="false" ht="12.75" hidden="false" customHeight="false" outlineLevel="0" collapsed="false">
      <c r="A67" s="171"/>
      <c r="B67" s="171"/>
      <c r="C67" s="171"/>
      <c r="E67" s="171"/>
    </row>
    <row r="68" customFormat="false" ht="12.75" hidden="false" customHeight="false" outlineLevel="0" collapsed="false">
      <c r="A68" s="171"/>
      <c r="B68" s="171"/>
      <c r="C68" s="171"/>
      <c r="E68" s="171"/>
    </row>
  </sheetData>
  <mergeCells count="1">
    <mergeCell ref="A7:C7"/>
  </mergeCells>
  <printOptions headings="false" gridLines="false" gridLinesSet="true" horizontalCentered="false" verticalCentered="false"/>
  <pageMargins left="0.905555555555556" right="0.511805555555556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5"/>
  <sheetViews>
    <sheetView showFormulas="false" showGridLines="true" showRowColHeaders="true" showZeros="true" rightToLeft="false" tabSelected="false" showOutlineSymbols="true" defaultGridColor="true" view="pageBreakPreview" topLeftCell="A25" colorId="64" zoomScale="110" zoomScaleNormal="100" zoomScalePageLayoutView="110" workbookViewId="0">
      <selection pane="topLeft" activeCell="E19" activeCellId="0" sqref="E19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22" width="8.57"/>
    <col collapsed="false" customWidth="true" hidden="false" outlineLevel="0" max="2" min="2" style="122" width="67.14"/>
    <col collapsed="false" customWidth="true" hidden="false" outlineLevel="0" max="3" min="3" style="122" width="13.7"/>
    <col collapsed="false" customWidth="true" hidden="false" outlineLevel="0" max="4" min="4" style="122" width="10.29"/>
    <col collapsed="false" customWidth="true" hidden="false" outlineLevel="0" max="5" min="5" style="122" width="13.7"/>
    <col collapsed="false" customWidth="false" hidden="false" outlineLevel="0" max="1024" min="6" style="122" width="9.13"/>
  </cols>
  <sheetData>
    <row r="1" customFormat="false" ht="12.8" hidden="false" customHeight="false" outlineLevel="0" collapsed="false">
      <c r="A1" s="205" t="s">
        <v>231</v>
      </c>
    </row>
    <row r="2" customFormat="false" ht="12.8" hidden="false" customHeight="false" outlineLevel="0" collapsed="false"/>
    <row r="3" customFormat="false" ht="12.8" hidden="false" customHeight="false" outlineLevel="0" collapsed="false">
      <c r="A3" s="206" t="s">
        <v>232</v>
      </c>
    </row>
    <row r="4" customFormat="false" ht="12.8" hidden="false" customHeight="false" outlineLevel="0" collapsed="false"/>
    <row r="5" customFormat="false" ht="12.8" hidden="false" customHeight="false" outlineLevel="0" collapsed="false">
      <c r="A5" s="206" t="s">
        <v>233</v>
      </c>
    </row>
    <row r="6" customFormat="false" ht="12.8" hidden="false" customHeight="false" outlineLevel="0" collapsed="false"/>
    <row r="7" customFormat="false" ht="17.35" hidden="false" customHeight="false" outlineLevel="0" collapsed="false">
      <c r="B7" s="207" t="s">
        <v>234</v>
      </c>
      <c r="C7" s="207"/>
    </row>
    <row r="8" customFormat="false" ht="13.8" hidden="false" customHeight="false" outlineLevel="0" collapsed="false">
      <c r="A8" s="171"/>
      <c r="B8" s="208" t="s">
        <v>235</v>
      </c>
      <c r="C8" s="209"/>
    </row>
    <row r="9" customFormat="false" ht="13.8" hidden="false" customHeight="false" outlineLevel="0" collapsed="false">
      <c r="A9" s="171"/>
      <c r="B9" s="210" t="s">
        <v>236</v>
      </c>
      <c r="C9" s="211" t="n">
        <v>2100</v>
      </c>
    </row>
    <row r="10" customFormat="false" ht="13.8" hidden="false" customHeight="false" outlineLevel="0" collapsed="false">
      <c r="A10" s="171"/>
      <c r="B10" s="212" t="s">
        <v>237</v>
      </c>
      <c r="C10" s="211" t="n">
        <v>2031</v>
      </c>
    </row>
    <row r="11" customFormat="false" ht="13.8" hidden="false" customHeight="false" outlineLevel="0" collapsed="false">
      <c r="A11" s="171"/>
      <c r="B11" s="213" t="s">
        <v>238</v>
      </c>
      <c r="C11" s="214" t="n">
        <v>44</v>
      </c>
    </row>
    <row r="12" customFormat="false" ht="13.8" hidden="false" customHeight="false" outlineLevel="0" collapsed="false">
      <c r="A12" s="171"/>
      <c r="B12" s="213" t="s">
        <v>239</v>
      </c>
      <c r="C12" s="214" t="n">
        <v>1192</v>
      </c>
    </row>
    <row r="13" customFormat="false" ht="13.8" hidden="false" customHeight="false" outlineLevel="0" collapsed="false">
      <c r="A13" s="171"/>
      <c r="B13" s="213" t="s">
        <v>240</v>
      </c>
      <c r="C13" s="214" t="n">
        <v>372</v>
      </c>
    </row>
    <row r="14" customFormat="false" ht="13.8" hidden="false" customHeight="false" outlineLevel="0" collapsed="false">
      <c r="A14" s="171"/>
      <c r="B14" s="213" t="s">
        <v>241</v>
      </c>
      <c r="C14" s="214" t="n">
        <v>22</v>
      </c>
    </row>
    <row r="15" customFormat="false" ht="13.8" hidden="false" customHeight="false" outlineLevel="0" collapsed="false">
      <c r="A15" s="171"/>
      <c r="B15" s="213" t="s">
        <v>242</v>
      </c>
      <c r="C15" s="214" t="n">
        <v>350</v>
      </c>
    </row>
    <row r="16" customFormat="false" ht="13.8" hidden="false" customHeight="false" outlineLevel="0" collapsed="false">
      <c r="A16" s="171"/>
      <c r="B16" s="213" t="s">
        <v>243</v>
      </c>
      <c r="C16" s="214" t="n">
        <v>1</v>
      </c>
    </row>
    <row r="17" customFormat="false" ht="13.8" hidden="false" customHeight="false" outlineLevel="0" collapsed="false">
      <c r="A17" s="171"/>
      <c r="B17" s="213" t="s">
        <v>244</v>
      </c>
      <c r="C17" s="214" t="n">
        <v>30</v>
      </c>
    </row>
    <row r="18" customFormat="false" ht="13.8" hidden="false" customHeight="false" outlineLevel="0" collapsed="false">
      <c r="A18" s="171"/>
      <c r="B18" s="215" t="s">
        <v>245</v>
      </c>
      <c r="C18" s="216" t="n">
        <v>0</v>
      </c>
    </row>
    <row r="19" customFormat="false" ht="13.8" hidden="false" customHeight="false" outlineLevel="0" collapsed="false">
      <c r="A19" s="171"/>
      <c r="B19" s="217" t="s">
        <v>246</v>
      </c>
      <c r="C19" s="216" t="n">
        <v>0</v>
      </c>
    </row>
    <row r="20" customFormat="false" ht="13.8" hidden="false" customHeight="false" outlineLevel="0" collapsed="false">
      <c r="A20" s="171" t="s">
        <v>247</v>
      </c>
      <c r="B20" s="208" t="s">
        <v>248</v>
      </c>
      <c r="C20" s="209"/>
    </row>
    <row r="21" customFormat="false" ht="13.8" hidden="false" customHeight="false" outlineLevel="0" collapsed="false">
      <c r="A21" s="171"/>
      <c r="B21" s="218" t="s">
        <v>249</v>
      </c>
      <c r="C21" s="219" t="n">
        <v>4625</v>
      </c>
    </row>
    <row r="22" customFormat="false" ht="13.8" hidden="false" customHeight="false" outlineLevel="0" collapsed="false">
      <c r="A22" s="171"/>
      <c r="B22" s="213" t="s">
        <v>250</v>
      </c>
      <c r="C22" s="214" t="n">
        <v>4694</v>
      </c>
    </row>
    <row r="23" customFormat="false" ht="13.8" hidden="false" customHeight="false" outlineLevel="0" collapsed="false">
      <c r="B23" s="213" t="s">
        <v>251</v>
      </c>
      <c r="C23" s="220" t="n">
        <f aca="false">C9-C10</f>
        <v>69</v>
      </c>
    </row>
    <row r="24" customFormat="false" ht="13.8" hidden="false" customHeight="false" outlineLevel="0" collapsed="false">
      <c r="B24" s="221"/>
      <c r="C24" s="222"/>
    </row>
    <row r="25" s="205" customFormat="true" ht="13.8" hidden="false" customHeight="false" outlineLevel="0" collapsed="false">
      <c r="B25" s="210" t="s">
        <v>252</v>
      </c>
      <c r="C25" s="223" t="n">
        <f aca="false">MEDIAN(C21,C22)</f>
        <v>4659.5</v>
      </c>
    </row>
    <row r="26" customFormat="false" ht="13.8" hidden="false" customHeight="false" outlineLevel="0" collapsed="false">
      <c r="B26" s="212" t="s">
        <v>253</v>
      </c>
      <c r="C26" s="224" t="n">
        <f aca="false">C12/C25</f>
        <v>0.255821440068677</v>
      </c>
    </row>
    <row r="27" customFormat="false" ht="13.8" hidden="false" customHeight="false" outlineLevel="0" collapsed="false">
      <c r="B27" s="212" t="s">
        <v>254</v>
      </c>
      <c r="C27" s="224" t="n">
        <f aca="false">MEDIAN(C9,C10)/C25</f>
        <v>0.443287906427728</v>
      </c>
    </row>
    <row r="28" s="205" customFormat="true" ht="13.8" hidden="false" customHeight="false" outlineLevel="0" collapsed="false">
      <c r="B28" s="212" t="s">
        <v>255</v>
      </c>
      <c r="C28" s="225" t="n">
        <f aca="false">12/C27</f>
        <v>27.0704429920116</v>
      </c>
    </row>
    <row r="29" customFormat="false" ht="13.8" hidden="false" customHeight="false" outlineLevel="0" collapsed="false">
      <c r="B29" s="212" t="s">
        <v>256</v>
      </c>
      <c r="C29" s="226" t="n">
        <v>360</v>
      </c>
    </row>
    <row r="30" customFormat="false" ht="13.8" hidden="false" customHeight="false" outlineLevel="0" collapsed="false">
      <c r="B30" s="212" t="s">
        <v>257</v>
      </c>
      <c r="C30" s="226" t="n">
        <v>10</v>
      </c>
    </row>
    <row r="31" customFormat="false" ht="13.8" hidden="false" customHeight="false" outlineLevel="0" collapsed="false">
      <c r="B31" s="210" t="s">
        <v>258</v>
      </c>
      <c r="C31" s="227" t="n">
        <v>30</v>
      </c>
    </row>
    <row r="32" customFormat="false" ht="13.8" hidden="false" customHeight="false" outlineLevel="0" collapsed="false">
      <c r="B32" s="210" t="s">
        <v>259</v>
      </c>
      <c r="C32" s="227" t="n">
        <v>30</v>
      </c>
    </row>
    <row r="33" s="205" customFormat="true" ht="13.8" hidden="false" customHeight="false" outlineLevel="0" collapsed="false">
      <c r="B33" s="210" t="s">
        <v>260</v>
      </c>
      <c r="C33" s="227" t="n">
        <f aca="false">30+(3*TRUNC(1/C27))</f>
        <v>36</v>
      </c>
    </row>
    <row r="34" s="205" customFormat="true" ht="13.8" hidden="false" customHeight="false" outlineLevel="0" collapsed="false">
      <c r="B34" s="212" t="s">
        <v>195</v>
      </c>
      <c r="C34" s="228" t="n">
        <v>0.08</v>
      </c>
    </row>
    <row r="35" s="205" customFormat="true" ht="13.8" hidden="false" customHeight="false" outlineLevel="0" collapsed="false">
      <c r="B35" s="229" t="s">
        <v>261</v>
      </c>
      <c r="C35" s="230" t="n">
        <v>0.4</v>
      </c>
      <c r="D35" s="205" t="s">
        <v>262</v>
      </c>
    </row>
  </sheetData>
  <mergeCells count="1">
    <mergeCell ref="B7:C7"/>
  </mergeCells>
  <printOptions headings="false" gridLines="false" gridLinesSet="true" horizontalCentered="false" verticalCentered="false"/>
  <pageMargins left="0.905555555555556" right="0.511805555555556" top="0.747916666666667" bottom="0.747916666666667" header="0.511811023622047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4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C18" activeCellId="0" sqref="C18"/>
    </sheetView>
  </sheetViews>
  <sheetFormatPr defaultColWidth="8.859375" defaultRowHeight="12.75" zeroHeight="false" outlineLevelRow="0" outlineLevelCol="0"/>
  <cols>
    <col collapsed="false" customWidth="true" hidden="false" outlineLevel="0" max="1" min="1" style="0" width="41.87"/>
    <col collapsed="false" customWidth="true" hidden="false" outlineLevel="0" max="2" min="2" style="0" width="5.57"/>
    <col collapsed="false" customWidth="true" hidden="false" outlineLevel="0" max="4" min="4" style="0" width="9.71"/>
    <col collapsed="false" customWidth="true" hidden="false" outlineLevel="0" max="5" min="5" style="231" width="8"/>
    <col collapsed="false" customWidth="true" hidden="false" outlineLevel="0" max="6" min="6" style="0" width="9.71"/>
  </cols>
  <sheetData>
    <row r="1" s="232" customFormat="true" ht="13.8" hidden="false" customHeight="false" outlineLevel="0" collapsed="false">
      <c r="A1" s="26" t="s">
        <v>172</v>
      </c>
      <c r="B1" s="6"/>
      <c r="C1" s="6"/>
      <c r="E1" s="233"/>
    </row>
    <row r="2" s="232" customFormat="true" ht="13.8" hidden="false" customHeight="false" outlineLevel="0" collapsed="false">
      <c r="A2" s="172" t="s">
        <v>263</v>
      </c>
      <c r="B2" s="6"/>
      <c r="C2" s="6"/>
      <c r="E2" s="233"/>
    </row>
    <row r="3" s="232" customFormat="true" ht="13.8" hidden="false" customHeight="false" outlineLevel="0" collapsed="false">
      <c r="A3" s="1" t="s">
        <v>264</v>
      </c>
      <c r="B3" s="6"/>
      <c r="C3" s="6"/>
      <c r="E3" s="233"/>
    </row>
    <row r="4" s="232" customFormat="true" ht="13.8" hidden="false" customHeight="false" outlineLevel="0" collapsed="false">
      <c r="A4" s="1"/>
      <c r="B4" s="6"/>
      <c r="C4" s="6"/>
      <c r="E4" s="233"/>
    </row>
    <row r="5" s="12" customFormat="true" ht="15" hidden="false" customHeight="true" outlineLevel="0" collapsed="false">
      <c r="A5" s="173" t="s">
        <v>174</v>
      </c>
      <c r="B5" s="8"/>
      <c r="C5" s="8"/>
      <c r="D5" s="8"/>
      <c r="E5" s="8"/>
      <c r="F5" s="8"/>
      <c r="G5" s="10"/>
    </row>
    <row r="6" s="12" customFormat="true" ht="16.5" hidden="false" customHeight="true" outlineLevel="0" collapsed="false">
      <c r="A6" s="173" t="s">
        <v>175</v>
      </c>
      <c r="B6" s="174"/>
      <c r="C6" s="174"/>
      <c r="D6" s="10"/>
      <c r="E6" s="10"/>
      <c r="F6" s="10"/>
      <c r="G6" s="10"/>
    </row>
    <row r="7" s="232" customFormat="true" ht="13.8" hidden="false" customHeight="false" outlineLevel="0" collapsed="false">
      <c r="B7" s="6"/>
      <c r="C7" s="6"/>
      <c r="E7" s="233"/>
    </row>
    <row r="8" customFormat="false" ht="15" hidden="false" customHeight="false" outlineLevel="0" collapsed="false">
      <c r="A8" s="234" t="s">
        <v>265</v>
      </c>
      <c r="B8" s="234"/>
      <c r="C8" s="234"/>
      <c r="D8" s="234"/>
      <c r="E8" s="234"/>
      <c r="F8" s="234"/>
    </row>
    <row r="9" customFormat="false" ht="15" hidden="false" customHeight="false" outlineLevel="0" collapsed="false">
      <c r="A9" s="235"/>
      <c r="B9" s="236"/>
      <c r="C9" s="236"/>
      <c r="D9" s="236"/>
      <c r="E9" s="236"/>
      <c r="F9" s="237"/>
    </row>
    <row r="10" customFormat="false" ht="13.8" hidden="false" customHeight="false" outlineLevel="0" collapsed="false">
      <c r="A10" s="238"/>
      <c r="B10" s="239"/>
      <c r="C10" s="239"/>
      <c r="D10" s="240" t="s">
        <v>266</v>
      </c>
      <c r="E10" s="240"/>
      <c r="F10" s="240"/>
      <c r="G10" s="232"/>
      <c r="H10" s="232"/>
    </row>
    <row r="11" customFormat="false" ht="13.8" hidden="false" customHeight="false" outlineLevel="0" collapsed="false">
      <c r="A11" s="221"/>
      <c r="B11" s="241"/>
      <c r="C11" s="241"/>
      <c r="D11" s="242" t="s">
        <v>267</v>
      </c>
      <c r="E11" s="243" t="s">
        <v>268</v>
      </c>
      <c r="F11" s="244" t="s">
        <v>269</v>
      </c>
      <c r="G11" s="232"/>
      <c r="H11" s="232"/>
    </row>
    <row r="12" customFormat="false" ht="13.8" hidden="false" customHeight="false" outlineLevel="0" collapsed="false">
      <c r="A12" s="245" t="s">
        <v>270</v>
      </c>
      <c r="B12" s="246" t="s">
        <v>271</v>
      </c>
      <c r="C12" s="247" t="n">
        <v>0.0508</v>
      </c>
      <c r="D12" s="248" t="n">
        <v>0.0297</v>
      </c>
      <c r="E12" s="249" t="n">
        <v>0.0508</v>
      </c>
      <c r="F12" s="250" t="n">
        <v>0.0627</v>
      </c>
      <c r="G12" s="232"/>
      <c r="H12" s="232"/>
    </row>
    <row r="13" customFormat="false" ht="13.8" hidden="false" customHeight="false" outlineLevel="0" collapsed="false">
      <c r="A13" s="251" t="s">
        <v>272</v>
      </c>
      <c r="B13" s="252" t="s">
        <v>273</v>
      </c>
      <c r="C13" s="253" t="n">
        <v>0.0133</v>
      </c>
      <c r="D13" s="248" t="n">
        <f aca="false">0.3%+0.56%</f>
        <v>0.0086</v>
      </c>
      <c r="E13" s="249" t="n">
        <f aca="false">0.48%+0.85%</f>
        <v>0.0133</v>
      </c>
      <c r="F13" s="250" t="n">
        <f aca="false">0.82%+0.89%</f>
        <v>0.0171</v>
      </c>
      <c r="G13" s="232"/>
      <c r="H13" s="232"/>
    </row>
    <row r="14" customFormat="false" ht="13.8" hidden="false" customHeight="false" outlineLevel="0" collapsed="false">
      <c r="A14" s="251" t="s">
        <v>274</v>
      </c>
      <c r="B14" s="252" t="s">
        <v>275</v>
      </c>
      <c r="C14" s="253" t="n">
        <v>0.1085</v>
      </c>
      <c r="D14" s="248" t="n">
        <v>0.0778</v>
      </c>
      <c r="E14" s="249" t="n">
        <v>0.1085</v>
      </c>
      <c r="F14" s="250" t="n">
        <v>0.1355</v>
      </c>
      <c r="G14" s="232"/>
      <c r="H14" s="232"/>
    </row>
    <row r="15" customFormat="false" ht="13.8" hidden="false" customHeight="false" outlineLevel="0" collapsed="false">
      <c r="A15" s="251" t="s">
        <v>276</v>
      </c>
      <c r="B15" s="252" t="s">
        <v>277</v>
      </c>
      <c r="C15" s="254" t="n">
        <f aca="false">(1+E15)^(E16/252)-1</f>
        <v>0.00849698627557305</v>
      </c>
      <c r="D15" s="248" t="s">
        <v>278</v>
      </c>
      <c r="E15" s="255" t="n">
        <v>0.1125</v>
      </c>
      <c r="F15" s="256"/>
      <c r="G15" s="232"/>
      <c r="H15" s="232"/>
    </row>
    <row r="16" customFormat="false" ht="13.8" hidden="false" customHeight="false" outlineLevel="0" collapsed="false">
      <c r="A16" s="251" t="s">
        <v>279</v>
      </c>
      <c r="B16" s="257" t="s">
        <v>280</v>
      </c>
      <c r="C16" s="253" t="n">
        <v>0.02</v>
      </c>
      <c r="D16" s="258" t="s">
        <v>281</v>
      </c>
      <c r="E16" s="259" t="n">
        <v>20</v>
      </c>
      <c r="F16" s="260"/>
      <c r="G16" s="232"/>
      <c r="H16" s="232"/>
    </row>
    <row r="17" customFormat="false" ht="13.8" hidden="false" customHeight="false" outlineLevel="0" collapsed="false">
      <c r="A17" s="261" t="s">
        <v>282</v>
      </c>
      <c r="B17" s="257"/>
      <c r="C17" s="262" t="n">
        <v>0.0365</v>
      </c>
      <c r="D17" s="213"/>
      <c r="E17" s="263"/>
      <c r="F17" s="260"/>
      <c r="G17" s="232"/>
      <c r="H17" s="232"/>
    </row>
    <row r="18" customFormat="false" ht="13.8" hidden="false" customHeight="false" outlineLevel="0" collapsed="false">
      <c r="A18" s="264" t="s">
        <v>283</v>
      </c>
      <c r="B18" s="265"/>
      <c r="C18" s="266"/>
      <c r="D18" s="213"/>
      <c r="E18" s="263"/>
      <c r="F18" s="260"/>
      <c r="G18" s="232"/>
      <c r="H18" s="232"/>
    </row>
    <row r="19" customFormat="false" ht="13.8" hidden="false" customHeight="false" outlineLevel="0" collapsed="false">
      <c r="A19" s="267" t="s">
        <v>284</v>
      </c>
      <c r="B19" s="268"/>
      <c r="C19" s="269"/>
      <c r="D19" s="213"/>
      <c r="E19" s="263"/>
      <c r="F19" s="260"/>
      <c r="G19" s="232"/>
      <c r="H19" s="232"/>
    </row>
    <row r="20" customFormat="false" ht="14.15" hidden="false" customHeight="false" outlineLevel="0" collapsed="false">
      <c r="A20" s="270" t="s">
        <v>285</v>
      </c>
      <c r="B20" s="271"/>
      <c r="C20" s="272" t="n">
        <f aca="false">ROUND((((1+C12+C13)*(1+C14)*(1+C15))/(1-(C16+C17))-1),4)</f>
        <v>0.2608</v>
      </c>
      <c r="D20" s="273" t="n">
        <v>0.2143</v>
      </c>
      <c r="E20" s="274" t="n">
        <v>0.2717</v>
      </c>
      <c r="F20" s="275" t="n">
        <v>0.3362</v>
      </c>
      <c r="G20" s="232"/>
      <c r="H20" s="232"/>
    </row>
    <row r="21" customFormat="false" ht="13.8" hidden="false" customHeight="false" outlineLevel="0" collapsed="false">
      <c r="A21" s="232"/>
      <c r="B21" s="232"/>
      <c r="C21" s="232"/>
      <c r="D21" s="232"/>
      <c r="E21" s="233"/>
      <c r="F21" s="232"/>
      <c r="G21" s="232"/>
      <c r="H21" s="232"/>
    </row>
    <row r="22" customFormat="false" ht="13.8" hidden="false" customHeight="false" outlineLevel="0" collapsed="false">
      <c r="A22" s="232"/>
      <c r="B22" s="232"/>
      <c r="C22" s="232"/>
      <c r="D22" s="232"/>
      <c r="E22" s="233"/>
      <c r="F22" s="232"/>
      <c r="G22" s="232"/>
      <c r="H22" s="232"/>
    </row>
    <row r="23" customFormat="false" ht="13.8" hidden="false" customHeight="false" outlineLevel="0" collapsed="false">
      <c r="A23" s="232"/>
      <c r="B23" s="232"/>
      <c r="C23" s="232"/>
      <c r="D23" s="232"/>
      <c r="E23" s="233"/>
      <c r="F23" s="232"/>
      <c r="G23" s="232"/>
      <c r="H23" s="232"/>
    </row>
    <row r="24" customFormat="false" ht="13.8" hidden="false" customHeight="false" outlineLevel="0" collapsed="false">
      <c r="A24" s="232"/>
      <c r="B24" s="232"/>
      <c r="C24" s="232"/>
      <c r="D24" s="232"/>
      <c r="E24" s="233"/>
      <c r="F24" s="232"/>
      <c r="G24" s="232"/>
      <c r="H24" s="232"/>
    </row>
  </sheetData>
  <mergeCells count="3">
    <mergeCell ref="A8:F8"/>
    <mergeCell ref="D10:F10"/>
    <mergeCell ref="B16:B17"/>
  </mergeCells>
  <printOptions headings="false" gridLines="false" gridLinesSet="true" horizontalCentered="false" verticalCentered="false"/>
  <pageMargins left="0.905555555555556" right="0.511805555555556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7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B3" activeCellId="0" sqref="B3"/>
    </sheetView>
  </sheetViews>
  <sheetFormatPr defaultColWidth="9.13671875" defaultRowHeight="12.8" zeroHeight="false" outlineLevelRow="0" outlineLevelCol="0"/>
  <cols>
    <col collapsed="false" customWidth="true" hidden="false" outlineLevel="0" max="1" min="1" style="122" width="24.57"/>
    <col collapsed="false" customWidth="true" hidden="false" outlineLevel="0" max="2" min="2" style="122" width="20.86"/>
    <col collapsed="false" customWidth="false" hidden="false" outlineLevel="0" max="1024" min="3" style="122" width="9.13"/>
  </cols>
  <sheetData>
    <row r="1" customFormat="false" ht="19.5" hidden="false" customHeight="true" outlineLevel="0" collapsed="false">
      <c r="A1" s="276" t="s">
        <v>286</v>
      </c>
      <c r="B1" s="276"/>
    </row>
    <row r="2" s="205" customFormat="true" ht="19.5" hidden="false" customHeight="true" outlineLevel="0" collapsed="false">
      <c r="A2" s="277" t="s">
        <v>287</v>
      </c>
      <c r="B2" s="278" t="s">
        <v>288</v>
      </c>
    </row>
    <row r="3" customFormat="false" ht="19.5" hidden="false" customHeight="true" outlineLevel="0" collapsed="false">
      <c r="A3" s="279" t="n">
        <v>1</v>
      </c>
      <c r="B3" s="280" t="n">
        <v>33.63</v>
      </c>
    </row>
    <row r="4" customFormat="false" ht="19.5" hidden="false" customHeight="true" outlineLevel="0" collapsed="false">
      <c r="A4" s="279" t="n">
        <v>2</v>
      </c>
      <c r="B4" s="280" t="n">
        <v>43.13</v>
      </c>
    </row>
    <row r="5" customFormat="false" ht="19.5" hidden="false" customHeight="true" outlineLevel="0" collapsed="false">
      <c r="A5" s="279" t="n">
        <v>3</v>
      </c>
      <c r="B5" s="280" t="n">
        <v>48.68</v>
      </c>
    </row>
    <row r="6" customFormat="false" ht="19.5" hidden="false" customHeight="true" outlineLevel="0" collapsed="false">
      <c r="A6" s="279" t="n">
        <v>4</v>
      </c>
      <c r="B6" s="280" t="n">
        <v>52.62</v>
      </c>
    </row>
    <row r="7" customFormat="false" ht="19.5" hidden="false" customHeight="true" outlineLevel="0" collapsed="false">
      <c r="A7" s="279" t="n">
        <v>5</v>
      </c>
      <c r="B7" s="280" t="n">
        <v>55.68</v>
      </c>
    </row>
    <row r="8" customFormat="false" ht="19.5" hidden="false" customHeight="true" outlineLevel="0" collapsed="false">
      <c r="A8" s="279" t="n">
        <v>6</v>
      </c>
      <c r="B8" s="280" t="n">
        <v>58.18</v>
      </c>
    </row>
    <row r="9" customFormat="false" ht="19.5" hidden="false" customHeight="true" outlineLevel="0" collapsed="false">
      <c r="A9" s="279" t="n">
        <v>7</v>
      </c>
      <c r="B9" s="280" t="n">
        <v>60.29</v>
      </c>
    </row>
    <row r="10" customFormat="false" ht="19.5" hidden="false" customHeight="true" outlineLevel="0" collapsed="false">
      <c r="A10" s="279" t="n">
        <v>8</v>
      </c>
      <c r="B10" s="280" t="n">
        <v>62.12</v>
      </c>
    </row>
    <row r="11" customFormat="false" ht="19.5" hidden="false" customHeight="true" outlineLevel="0" collapsed="false">
      <c r="A11" s="279" t="n">
        <v>9</v>
      </c>
      <c r="B11" s="280" t="n">
        <v>63.73</v>
      </c>
    </row>
    <row r="12" customFormat="false" ht="19.5" hidden="false" customHeight="true" outlineLevel="0" collapsed="false">
      <c r="A12" s="279" t="n">
        <v>10</v>
      </c>
      <c r="B12" s="280" t="n">
        <v>65.18</v>
      </c>
    </row>
    <row r="13" customFormat="false" ht="19.5" hidden="false" customHeight="true" outlineLevel="0" collapsed="false">
      <c r="A13" s="279" t="n">
        <v>11</v>
      </c>
      <c r="B13" s="280" t="n">
        <v>66.48</v>
      </c>
    </row>
    <row r="14" customFormat="false" ht="19.5" hidden="false" customHeight="true" outlineLevel="0" collapsed="false">
      <c r="A14" s="279" t="n">
        <v>12</v>
      </c>
      <c r="B14" s="280" t="n">
        <v>67.67</v>
      </c>
    </row>
    <row r="15" customFormat="false" ht="19.5" hidden="false" customHeight="true" outlineLevel="0" collapsed="false">
      <c r="A15" s="279" t="n">
        <v>13</v>
      </c>
      <c r="B15" s="280" t="n">
        <v>68.77</v>
      </c>
    </row>
    <row r="16" customFormat="false" ht="19.5" hidden="false" customHeight="true" outlineLevel="0" collapsed="false">
      <c r="A16" s="279" t="n">
        <v>14</v>
      </c>
      <c r="B16" s="280" t="n">
        <v>69.79</v>
      </c>
    </row>
    <row r="17" customFormat="false" ht="19.5" hidden="false" customHeight="true" outlineLevel="0" collapsed="false">
      <c r="A17" s="281" t="n">
        <v>15</v>
      </c>
      <c r="B17" s="282" t="n">
        <v>70.73</v>
      </c>
    </row>
  </sheetData>
  <mergeCells count="1">
    <mergeCell ref="A1:B1"/>
  </mergeCells>
  <printOptions headings="false" gridLines="false" gridLinesSet="true" horizontalCentered="false" verticalCentered="false"/>
  <pageMargins left="0.905555555555556" right="0.511805555555556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7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A24" activeCellId="0" sqref="A24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22" width="70.42"/>
    <col collapsed="false" customWidth="false" hidden="false" outlineLevel="0" max="3" min="2" style="122" width="9.13"/>
    <col collapsed="false" customWidth="true" hidden="false" outlineLevel="0" max="4" min="4" style="122" width="12.86"/>
    <col collapsed="false" customWidth="false" hidden="false" outlineLevel="0" max="1024" min="5" style="122" width="9.13"/>
  </cols>
  <sheetData>
    <row r="1" customFormat="false" ht="17.35" hidden="false" customHeight="false" outlineLevel="0" collapsed="false">
      <c r="A1" s="283" t="s">
        <v>289</v>
      </c>
    </row>
    <row r="2" customFormat="false" ht="12.75" hidden="false" customHeight="false" outlineLevel="0" collapsed="false">
      <c r="A2" s="284"/>
    </row>
    <row r="3" customFormat="false" ht="12.75" hidden="false" customHeight="false" outlineLevel="0" collapsed="false">
      <c r="A3" s="284" t="s">
        <v>290</v>
      </c>
    </row>
    <row r="4" customFormat="false" ht="12.75" hidden="false" customHeight="false" outlineLevel="0" collapsed="false">
      <c r="A4" s="284"/>
    </row>
    <row r="5" customFormat="false" ht="12.75" hidden="false" customHeight="false" outlineLevel="0" collapsed="false">
      <c r="A5" s="284"/>
    </row>
    <row r="6" customFormat="false" ht="12.75" hidden="false" customHeight="false" outlineLevel="0" collapsed="false">
      <c r="A6" s="284"/>
    </row>
    <row r="7" customFormat="false" ht="12.75" hidden="false" customHeight="false" outlineLevel="0" collapsed="false">
      <c r="A7" s="284"/>
    </row>
    <row r="8" customFormat="false" ht="12.75" hidden="false" customHeight="false" outlineLevel="0" collapsed="false">
      <c r="A8" s="284"/>
    </row>
    <row r="9" customFormat="false" ht="12.75" hidden="false" customHeight="false" outlineLevel="0" collapsed="false">
      <c r="A9" s="284"/>
    </row>
    <row r="10" customFormat="false" ht="12.75" hidden="false" customHeight="false" outlineLevel="0" collapsed="false">
      <c r="A10" s="284"/>
    </row>
    <row r="11" customFormat="false" ht="12.75" hidden="false" customHeight="false" outlineLevel="0" collapsed="false">
      <c r="A11" s="284"/>
    </row>
    <row r="12" customFormat="false" ht="15" hidden="false" customHeight="false" outlineLevel="0" collapsed="false">
      <c r="A12" s="285" t="s">
        <v>291</v>
      </c>
    </row>
    <row r="13" customFormat="false" ht="15" hidden="false" customHeight="false" outlineLevel="0" collapsed="false">
      <c r="A13" s="285" t="s">
        <v>292</v>
      </c>
    </row>
    <row r="14" customFormat="false" ht="15" hidden="false" customHeight="false" outlineLevel="0" collapsed="false">
      <c r="A14" s="285" t="s">
        <v>293</v>
      </c>
    </row>
    <row r="15" customFormat="false" ht="15" hidden="false" customHeight="false" outlineLevel="0" collapsed="false">
      <c r="A15" s="285" t="s">
        <v>294</v>
      </c>
    </row>
    <row r="16" customFormat="false" ht="15" hidden="false" customHeight="false" outlineLevel="0" collapsed="false">
      <c r="A16" s="285" t="s">
        <v>295</v>
      </c>
    </row>
    <row r="17" customFormat="false" ht="15" hidden="false" customHeight="false" outlineLevel="0" collapsed="false">
      <c r="A17" s="286" t="s">
        <v>296</v>
      </c>
    </row>
  </sheetData>
  <printOptions headings="false" gridLines="false" gridLinesSet="true" horizontalCentered="false" verticalCentered="false"/>
  <pageMargins left="0.905555555555556" right="0.511805555555556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4"/>
  <sheetViews>
    <sheetView showFormulas="false" showGridLines="true" showRowColHeaders="true" showZeros="true" rightToLeft="false" tabSelected="false" showOutlineSymbols="true" defaultGridColor="true" view="pageBreakPreview" topLeftCell="A7" colorId="64" zoomScale="110" zoomScaleNormal="100" zoomScalePageLayoutView="110" workbookViewId="0">
      <selection pane="topLeft" activeCell="A27" activeCellId="0" sqref="A27"/>
    </sheetView>
  </sheetViews>
  <sheetFormatPr defaultColWidth="9.13671875" defaultRowHeight="12.8" zeroHeight="false" outlineLevelRow="0" outlineLevelCol="0"/>
  <cols>
    <col collapsed="false" customWidth="true" hidden="false" outlineLevel="0" max="1" min="1" style="122" width="58.29"/>
    <col collapsed="false" customWidth="true" hidden="false" outlineLevel="0" max="2" min="2" style="122" width="11.14"/>
    <col collapsed="false" customWidth="true" hidden="false" outlineLevel="0" max="3" min="3" style="122" width="11.3"/>
    <col collapsed="false" customWidth="false" hidden="false" outlineLevel="0" max="1024" min="4" style="122" width="9.13"/>
  </cols>
  <sheetData>
    <row r="1" customFormat="false" ht="12.75" hidden="false" customHeight="false" outlineLevel="0" collapsed="false">
      <c r="A1" s="26" t="s">
        <v>172</v>
      </c>
    </row>
    <row r="2" customFormat="false" ht="12.75" hidden="false" customHeight="false" outlineLevel="0" collapsed="false">
      <c r="A2" s="172" t="s">
        <v>297</v>
      </c>
    </row>
    <row r="3" customFormat="false" ht="12.75" hidden="false" customHeight="false" outlineLevel="0" collapsed="false">
      <c r="A3" s="172" t="s">
        <v>298</v>
      </c>
    </row>
    <row r="4" customFormat="false" ht="12.75" hidden="false" customHeight="false" outlineLevel="0" collapsed="false">
      <c r="A4" s="1" t="s">
        <v>299</v>
      </c>
    </row>
    <row r="5" customFormat="false" ht="12.75" hidden="false" customHeight="false" outlineLevel="0" collapsed="false">
      <c r="A5" s="1"/>
    </row>
    <row r="6" s="12" customFormat="true" ht="15" hidden="false" customHeight="true" outlineLevel="0" collapsed="false">
      <c r="A6" s="173" t="s">
        <v>174</v>
      </c>
      <c r="B6" s="8"/>
      <c r="C6" s="8"/>
      <c r="D6" s="8"/>
      <c r="E6" s="8"/>
      <c r="F6" s="8"/>
      <c r="G6" s="10"/>
    </row>
    <row r="7" s="12" customFormat="true" ht="16.5" hidden="false" customHeight="true" outlineLevel="0" collapsed="false">
      <c r="A7" s="173" t="s">
        <v>175</v>
      </c>
      <c r="B7" s="174"/>
      <c r="C7" s="174"/>
      <c r="D7" s="10"/>
      <c r="E7" s="10"/>
      <c r="F7" s="10"/>
      <c r="G7" s="10"/>
    </row>
    <row r="9" customFormat="false" ht="17.35" hidden="false" customHeight="false" outlineLevel="0" collapsed="false">
      <c r="A9" s="207" t="s">
        <v>300</v>
      </c>
      <c r="B9" s="207"/>
      <c r="C9" s="207"/>
    </row>
    <row r="10" customFormat="false" ht="17.35" hidden="false" customHeight="false" outlineLevel="0" collapsed="false">
      <c r="A10" s="287"/>
      <c r="B10" s="288"/>
      <c r="C10" s="289"/>
    </row>
    <row r="11" s="205" customFormat="true" ht="13.8" hidden="false" customHeight="false" outlineLevel="0" collapsed="false">
      <c r="A11" s="290" t="s">
        <v>301</v>
      </c>
      <c r="B11" s="291" t="s">
        <v>302</v>
      </c>
      <c r="C11" s="292" t="s">
        <v>179</v>
      </c>
    </row>
    <row r="12" customFormat="false" ht="13.8" hidden="false" customHeight="false" outlineLevel="0" collapsed="false">
      <c r="A12" s="213" t="s">
        <v>303</v>
      </c>
      <c r="B12" s="293" t="s">
        <v>304</v>
      </c>
      <c r="C12" s="214"/>
    </row>
    <row r="13" customFormat="false" ht="14.15" hidden="false" customHeight="false" outlineLevel="0" collapsed="false">
      <c r="A13" s="213" t="s">
        <v>305</v>
      </c>
      <c r="B13" s="293" t="s">
        <v>306</v>
      </c>
      <c r="C13" s="294" t="n">
        <f aca="false">0.0362741*C12^0.2336249</f>
        <v>0</v>
      </c>
    </row>
    <row r="14" customFormat="false" ht="13.8" hidden="false" customHeight="false" outlineLevel="0" collapsed="false">
      <c r="A14" s="213" t="s">
        <v>307</v>
      </c>
      <c r="B14" s="293" t="s">
        <v>308</v>
      </c>
      <c r="C14" s="295" t="n">
        <f aca="false">C12*C13/1000</f>
        <v>0</v>
      </c>
    </row>
    <row r="15" customFormat="false" ht="13.8" hidden="false" customHeight="false" outlineLevel="0" collapsed="false">
      <c r="A15" s="213" t="s">
        <v>309</v>
      </c>
      <c r="B15" s="293" t="s">
        <v>310</v>
      </c>
      <c r="C15" s="296" t="n">
        <f aca="false">(C14*30)</f>
        <v>0</v>
      </c>
    </row>
    <row r="16" customFormat="false" ht="13.8" hidden="false" customHeight="false" outlineLevel="0" collapsed="false">
      <c r="A16" s="213" t="s">
        <v>311</v>
      </c>
      <c r="B16" s="293" t="s">
        <v>48</v>
      </c>
      <c r="C16" s="297"/>
    </row>
    <row r="17" customFormat="false" ht="13.8" hidden="false" customHeight="false" outlineLevel="0" collapsed="false">
      <c r="A17" s="213" t="s">
        <v>312</v>
      </c>
      <c r="B17" s="293" t="s">
        <v>308</v>
      </c>
      <c r="C17" s="295" t="n">
        <f aca="false">IFERROR(C14*7/C16,0)</f>
        <v>0</v>
      </c>
    </row>
    <row r="18" customFormat="false" ht="13.8" hidden="false" customHeight="false" outlineLevel="0" collapsed="false">
      <c r="A18" s="213" t="s">
        <v>313</v>
      </c>
      <c r="B18" s="293" t="s">
        <v>314</v>
      </c>
      <c r="C18" s="260" t="n">
        <v>500</v>
      </c>
    </row>
    <row r="19" customFormat="false" ht="13.8" hidden="false" customHeight="false" outlineLevel="0" collapsed="false">
      <c r="A19" s="213" t="s">
        <v>315</v>
      </c>
      <c r="B19" s="293"/>
      <c r="C19" s="214"/>
    </row>
    <row r="20" customFormat="false" ht="13.8" hidden="false" customHeight="false" outlineLevel="0" collapsed="false">
      <c r="A20" s="213" t="s">
        <v>316</v>
      </c>
      <c r="B20" s="293" t="s">
        <v>317</v>
      </c>
      <c r="C20" s="214"/>
    </row>
    <row r="21" customFormat="false" ht="14.15" hidden="false" customHeight="false" outlineLevel="0" collapsed="false">
      <c r="A21" s="213" t="s">
        <v>318</v>
      </c>
      <c r="B21" s="293" t="s">
        <v>310</v>
      </c>
      <c r="C21" s="220" t="n">
        <f aca="false">IF(AND(C20&gt;=15,C19=1),5.8,C20/2)</f>
        <v>0</v>
      </c>
    </row>
    <row r="22" customFormat="false" ht="13.8" hidden="false" customHeight="false" outlineLevel="0" collapsed="false">
      <c r="A22" s="213" t="s">
        <v>319</v>
      </c>
      <c r="B22" s="293"/>
      <c r="C22" s="295" t="n">
        <f aca="false">IFERROR(C17/C21,0)</f>
        <v>0</v>
      </c>
    </row>
    <row r="23" customFormat="false" ht="13.8" hidden="false" customHeight="false" outlineLevel="0" collapsed="false">
      <c r="A23" s="213" t="s">
        <v>320</v>
      </c>
      <c r="B23" s="293"/>
      <c r="C23" s="298"/>
    </row>
    <row r="24" customFormat="false" ht="13.8" hidden="false" customHeight="false" outlineLevel="0" collapsed="false">
      <c r="A24" s="299" t="s">
        <v>321</v>
      </c>
      <c r="B24" s="300"/>
      <c r="C24" s="301" t="n">
        <f aca="false">IFERROR(C22/C23,0)</f>
        <v>0</v>
      </c>
    </row>
  </sheetData>
  <mergeCells count="1">
    <mergeCell ref="A9:C9"/>
  </mergeCells>
  <conditionalFormatting sqref="C21">
    <cfRule type="expression" priority="2" aboveAverage="0" equalAverage="0" bottom="0" percent="0" rank="0" text="" dxfId="0">
      <formula>"SE(E(C20&gt;=15;C19=1))"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LibreOffice/7.3.7.2$Windows_X86_64 LibreOffice_project/e114eadc50a9ff8d8c8a0567d6da8f454beeb84f</Application>
  <AppVersion>15.0000</AppVersion>
  <Company>dmlu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2000-12-13T10:02:50Z</dcterms:created>
  <dc:creator>Flavia Burmeister Martins</dc:creator>
  <dc:description/>
  <dc:language>pt-BR</dc:language>
  <cp:lastModifiedBy/>
  <cp:lastPrinted>2024-12-02T09:54:27Z</cp:lastPrinted>
  <dcterms:modified xsi:type="dcterms:W3CDTF">2024-12-02T09:53:54Z</dcterms:modified>
  <cp:revision>30</cp:revision>
  <dc:subject/>
  <dc:title>Planilha de Custos Coleta e Transporte RSU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